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4.xml" ContentType="application/vnd.openxmlformats-officedocument.spreadsheetml.comments+xml"/>
  <Override PartName="/xl/drawings/drawing3.xml" ContentType="application/vnd.openxmlformats-officedocument.drawing+xml"/>
  <Override PartName="/xl/charts/chart5.xml" ContentType="application/vnd.openxmlformats-officedocument.drawingml.chart+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U:\FOR WEBSITE\"/>
    </mc:Choice>
  </mc:AlternateContent>
  <xr:revisionPtr revIDLastSave="0" documentId="8_{CF6E800B-612C-4F7A-96B6-3F2F699BDDBE}" xr6:coauthVersionLast="47" xr6:coauthVersionMax="47" xr10:uidLastSave="{00000000-0000-0000-0000-000000000000}"/>
  <bookViews>
    <workbookView xWindow="-120" yWindow="-120" windowWidth="19440" windowHeight="11160" tabRatio="787" firstSheet="4" activeTab="4" xr2:uid="{00000000-000D-0000-FFFF-FFFF00000000}"/>
  </bookViews>
  <sheets>
    <sheet name="Updated  Operating Budget" sheetId="26" state="hidden" r:id="rId1"/>
    <sheet name="2023 Operating Budget" sheetId="27" state="hidden" r:id="rId2"/>
    <sheet name="Transportation Historic" sheetId="28" state="hidden" r:id="rId3"/>
    <sheet name="2024 Operating Budget" sheetId="32" state="hidden" r:id="rId4"/>
    <sheet name="Notes" sheetId="15" r:id="rId5"/>
    <sheet name="Data" sheetId="19" state="hidden" r:id="rId6"/>
    <sheet name="Updated Operating Budget" sheetId="25" state="hidden" r:id="rId7"/>
    <sheet name="April'24 Revenues &amp; Expenses" sheetId="3" r:id="rId8"/>
    <sheet name="April'24 AR Aging " sheetId="6" r:id="rId9"/>
    <sheet name="April'24 Financial Position" sheetId="5" r:id="rId10"/>
    <sheet name="April'24 State of Activities" sheetId="12" r:id="rId11"/>
    <sheet name="FundRaising" sheetId="31" state="hidden" r:id="rId12"/>
    <sheet name="April'24 Transportation" sheetId="24" r:id="rId13"/>
    <sheet name="2023 Updated Budget Transportat" sheetId="30" state="hidden" r:id="rId14"/>
    <sheet name="Historic Transportation 5 Years" sheetId="29" state="hidden" r:id="rId15"/>
    <sheet name="June'20 Transportation" sheetId="18" state="hidden" r:id="rId16"/>
    <sheet name="Transportation Projections" sheetId="23" state="hidden" r:id="rId17"/>
    <sheet name="2019 Budget" sheetId="22" state="hidden" r:id="rId18"/>
    <sheet name="2017 Medicaid Revenue" sheetId="21" state="hidden" r:id="rId19"/>
    <sheet name="Budget" sheetId="20" state="hidden" r:id="rId20"/>
    <sheet name="YE Historic Data" sheetId="17" state="hidden" r:id="rId21"/>
  </sheets>
  <externalReferences>
    <externalReference r:id="rId22"/>
    <externalReference r:id="rId23"/>
    <externalReference r:id="rId24"/>
  </externalReferences>
  <definedNames>
    <definedName name="_xlnm.Print_Area" localSheetId="18">'2017 Medicaid Revenue'!$A$1:$H$69</definedName>
    <definedName name="_xlnm.Print_Area" localSheetId="8">'April''24 AR Aging '!$A$1:$G$153</definedName>
    <definedName name="_xlnm.Print_Area" localSheetId="9">'April''24 Financial Position'!$A$1:$L$69</definedName>
    <definedName name="_xlnm.Print_Area" localSheetId="7">'April''24 Revenues &amp; Expenses'!$A$1:$L$82</definedName>
    <definedName name="_xlnm.Print_Area" localSheetId="10">'April''24 State of Activities'!$A$1:$O$72</definedName>
    <definedName name="_xlnm.Print_Area" localSheetId="12">'April''24 Transportation'!$A$1:$P$68</definedName>
    <definedName name="_xlnm.Print_Area" localSheetId="19">Budget!$A$1:$G$54</definedName>
    <definedName name="_xlnm.Print_Area" localSheetId="15">'June''20 Transportation'!$A$1:$P$63</definedName>
    <definedName name="_xlnm.Print_Area" localSheetId="4">Notes!$A$4:$H$112</definedName>
    <definedName name="_xlnm.Print_Area" localSheetId="16">'Transportation Projections'!$A$1:$P$53</definedName>
    <definedName name="_xlnm.Print_Area" localSheetId="20">'YE Historic Data'!$A$1:$W$41</definedName>
    <definedName name="_xlnm.Print_Titles" localSheetId="4">Notes!$1:$3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01" i="19" l="1"/>
  <c r="B2200" i="19"/>
  <c r="C2152" i="19" l="1"/>
  <c r="B2151" i="19"/>
  <c r="B2150" i="19"/>
  <c r="M47" i="24"/>
  <c r="M53" i="24"/>
  <c r="M41" i="24"/>
  <c r="M34" i="24"/>
  <c r="M10" i="24"/>
  <c r="B2152" i="19" l="1"/>
  <c r="C2153" i="19"/>
  <c r="B2153" i="19" l="1"/>
  <c r="B2154" i="19" l="1"/>
  <c r="C2155" i="19"/>
  <c r="C2156" i="19" l="1"/>
  <c r="B2155" i="19"/>
  <c r="B2156" i="19" l="1"/>
  <c r="B2157" i="19" l="1"/>
  <c r="B2158" i="19" l="1"/>
  <c r="B2159" i="19" l="1"/>
  <c r="B2160" i="19" l="1"/>
  <c r="B2161" i="19" l="1"/>
  <c r="B2162" i="19" l="1"/>
  <c r="B2163" i="19" l="1"/>
  <c r="B2164" i="19" l="1"/>
  <c r="B2165" i="19" l="1"/>
  <c r="B2166" i="19" l="1"/>
  <c r="B2167" i="19" l="1"/>
  <c r="B2168" i="19" l="1"/>
  <c r="B2169" i="19" l="1"/>
  <c r="C2171" i="19" l="1"/>
  <c r="B2170" i="19"/>
  <c r="C2172" i="19" l="1"/>
  <c r="B2171" i="19"/>
  <c r="B2172" i="19" l="1"/>
  <c r="B2173" i="19" l="1"/>
  <c r="C2174" i="19"/>
  <c r="B2174" i="19" l="1"/>
  <c r="B2175" i="19" l="1"/>
  <c r="B2176" i="19" l="1"/>
  <c r="B2177" i="19" l="1"/>
  <c r="B2178" i="19" l="1"/>
  <c r="B2179" i="19" l="1"/>
  <c r="B2180" i="19" l="1"/>
  <c r="B2181" i="19" l="1"/>
  <c r="B2182" i="19" l="1"/>
  <c r="B2183" i="19" l="1"/>
  <c r="C2185" i="19" l="1"/>
  <c r="B2184" i="19"/>
  <c r="B2185" i="19" l="1"/>
  <c r="B2186" i="19" l="1"/>
  <c r="B2187" i="19" l="1"/>
  <c r="B2188" i="19" l="1"/>
  <c r="B2189" i="19" l="1"/>
  <c r="C2191" i="19" l="1"/>
  <c r="B2190" i="19"/>
  <c r="C2192" i="19" l="1"/>
  <c r="B2192" i="19" s="1"/>
  <c r="B2191" i="19"/>
  <c r="J53" i="24" l="1"/>
  <c r="J34" i="24"/>
  <c r="J27" i="24"/>
  <c r="J10" i="24"/>
  <c r="J21" i="24"/>
  <c r="J20" i="24"/>
  <c r="L45" i="5"/>
  <c r="L32" i="5"/>
  <c r="J53" i="12"/>
  <c r="J40" i="12"/>
  <c r="J12" i="12"/>
  <c r="G64" i="12"/>
  <c r="H63" i="5"/>
  <c r="H52" i="5"/>
  <c r="H22" i="5"/>
  <c r="H45" i="5"/>
  <c r="H32" i="5"/>
  <c r="G50" i="12"/>
  <c r="G53" i="12"/>
  <c r="G51" i="12"/>
  <c r="G40" i="12"/>
  <c r="G34" i="12"/>
  <c r="L53" i="5"/>
  <c r="L52" i="5"/>
  <c r="J77" i="3"/>
  <c r="K77" i="3" s="1"/>
  <c r="L77" i="3" s="1"/>
  <c r="I71" i="3"/>
  <c r="J71" i="3" s="1"/>
  <c r="J69" i="3"/>
  <c r="J67" i="3"/>
  <c r="I52" i="3"/>
  <c r="H33" i="3" l="1"/>
  <c r="I33" i="3"/>
  <c r="G33" i="3" s="1"/>
  <c r="J25" i="3"/>
  <c r="H26" i="3"/>
  <c r="I26" i="3" s="1"/>
  <c r="H25" i="3"/>
  <c r="I24" i="3"/>
  <c r="H18" i="3"/>
  <c r="I18" i="3" s="1"/>
  <c r="F73" i="6"/>
  <c r="E73" i="6"/>
  <c r="D49" i="6"/>
  <c r="C13" i="6"/>
  <c r="D8" i="6"/>
  <c r="F104" i="15"/>
  <c r="F103" i="15"/>
  <c r="F93" i="15"/>
  <c r="F90" i="15"/>
  <c r="F97" i="15"/>
  <c r="F91" i="15"/>
  <c r="B2149" i="19"/>
  <c r="C2104" i="19"/>
  <c r="B2104" i="19" s="1"/>
  <c r="G18" i="3" l="1"/>
  <c r="J18" i="3"/>
  <c r="C2105" i="19"/>
  <c r="O53" i="24"/>
  <c r="P53" i="24" s="1"/>
  <c r="M52" i="24"/>
  <c r="M57" i="24" s="1"/>
  <c r="J41" i="24"/>
  <c r="O34" i="24"/>
  <c r="P34" i="24" s="1"/>
  <c r="M27" i="24"/>
  <c r="O27" i="24" s="1"/>
  <c r="P27" i="24" s="1"/>
  <c r="O51" i="24"/>
  <c r="P51" i="24" s="1"/>
  <c r="O50" i="24"/>
  <c r="O49" i="24"/>
  <c r="P49" i="24" s="1"/>
  <c r="O48" i="24"/>
  <c r="P48" i="24" s="1"/>
  <c r="O47" i="24"/>
  <c r="P47" i="24" s="1"/>
  <c r="O46" i="24"/>
  <c r="P46" i="24" s="1"/>
  <c r="O45" i="24"/>
  <c r="P45" i="24" s="1"/>
  <c r="O44" i="24"/>
  <c r="P44" i="24" s="1"/>
  <c r="O43" i="24"/>
  <c r="P43" i="24" s="1"/>
  <c r="O40" i="24"/>
  <c r="P40" i="24" s="1"/>
  <c r="O39" i="24"/>
  <c r="P39" i="24" s="1"/>
  <c r="O38" i="24"/>
  <c r="P38" i="24" s="1"/>
  <c r="O37" i="24"/>
  <c r="P37" i="24" s="1"/>
  <c r="O33" i="24"/>
  <c r="P33" i="24" s="1"/>
  <c r="O28" i="24"/>
  <c r="P28" i="24" s="1"/>
  <c r="O24" i="24"/>
  <c r="O23" i="24"/>
  <c r="O22" i="24"/>
  <c r="O21" i="24"/>
  <c r="O20" i="24"/>
  <c r="O19" i="24"/>
  <c r="O18" i="24"/>
  <c r="P18" i="24" s="1"/>
  <c r="O16" i="24"/>
  <c r="O11" i="24"/>
  <c r="O10" i="24"/>
  <c r="P10" i="24" s="1"/>
  <c r="L64" i="12"/>
  <c r="L65" i="12"/>
  <c r="L63" i="12"/>
  <c r="L62" i="12"/>
  <c r="M65" i="12"/>
  <c r="M63" i="12"/>
  <c r="M62" i="12"/>
  <c r="J13" i="24"/>
  <c r="O13" i="24" s="1"/>
  <c r="P13" i="24" s="1"/>
  <c r="J17" i="24"/>
  <c r="O17" i="24" s="1"/>
  <c r="P17" i="24" s="1"/>
  <c r="C2106" i="19" l="1"/>
  <c r="B2105" i="19"/>
  <c r="O41" i="24"/>
  <c r="P41" i="24" s="1"/>
  <c r="K53" i="24"/>
  <c r="K52" i="24"/>
  <c r="K47" i="24"/>
  <c r="K45" i="24"/>
  <c r="K41" i="24"/>
  <c r="K34" i="24"/>
  <c r="B2106" i="19" l="1"/>
  <c r="G71" i="12"/>
  <c r="J66" i="12"/>
  <c r="H64" i="12"/>
  <c r="J65" i="12"/>
  <c r="L54" i="12"/>
  <c r="M54" i="12" s="1"/>
  <c r="L53" i="12"/>
  <c r="M53" i="12" s="1"/>
  <c r="L52" i="12"/>
  <c r="M52" i="12" s="1"/>
  <c r="L51" i="12"/>
  <c r="M51" i="12" s="1"/>
  <c r="L50" i="12"/>
  <c r="M50" i="12" s="1"/>
  <c r="L49" i="12"/>
  <c r="M49" i="12" s="1"/>
  <c r="L48" i="12"/>
  <c r="M48" i="12" s="1"/>
  <c r="L47" i="12"/>
  <c r="M47" i="12" s="1"/>
  <c r="L46" i="12"/>
  <c r="M46" i="12" s="1"/>
  <c r="L45" i="12"/>
  <c r="M45" i="12" s="1"/>
  <c r="L44" i="12"/>
  <c r="L43" i="12"/>
  <c r="M43" i="12" s="1"/>
  <c r="L42" i="12"/>
  <c r="M42" i="12" s="1"/>
  <c r="L41" i="12"/>
  <c r="M41" i="12" s="1"/>
  <c r="L40" i="12"/>
  <c r="M40" i="12" s="1"/>
  <c r="L39" i="12"/>
  <c r="M39" i="12" s="1"/>
  <c r="L38" i="12"/>
  <c r="M38" i="12" s="1"/>
  <c r="L37" i="12"/>
  <c r="M37" i="12" s="1"/>
  <c r="L36" i="12"/>
  <c r="M36" i="12" s="1"/>
  <c r="L33" i="12"/>
  <c r="M33" i="12" s="1"/>
  <c r="L32" i="12"/>
  <c r="M32" i="12" s="1"/>
  <c r="L28" i="12"/>
  <c r="M28" i="12" s="1"/>
  <c r="L25" i="12"/>
  <c r="M25" i="12" s="1"/>
  <c r="L24" i="12"/>
  <c r="M24" i="12" s="1"/>
  <c r="L23" i="12"/>
  <c r="M23" i="12" s="1"/>
  <c r="L22" i="12"/>
  <c r="M22" i="12" s="1"/>
  <c r="L21" i="12"/>
  <c r="M21" i="12" s="1"/>
  <c r="L20" i="12"/>
  <c r="M20" i="12" s="1"/>
  <c r="L19" i="12"/>
  <c r="L17" i="12"/>
  <c r="M17" i="12" s="1"/>
  <c r="L15" i="12"/>
  <c r="M15" i="12" s="1"/>
  <c r="L13" i="12"/>
  <c r="L12" i="12"/>
  <c r="M12" i="12" s="1"/>
  <c r="L11" i="12"/>
  <c r="L10" i="12"/>
  <c r="M10" i="12" s="1"/>
  <c r="L9" i="12"/>
  <c r="M9" i="12" s="1"/>
  <c r="J63" i="5"/>
  <c r="J54" i="12"/>
  <c r="L61" i="5"/>
  <c r="H54" i="12"/>
  <c r="H52" i="12"/>
  <c r="H49" i="12"/>
  <c r="H46" i="12"/>
  <c r="H45" i="12"/>
  <c r="H40" i="12"/>
  <c r="H19" i="12"/>
  <c r="H12" i="12"/>
  <c r="J61" i="5"/>
  <c r="J45" i="5"/>
  <c r="J52" i="5"/>
  <c r="H61" i="5"/>
  <c r="B2107" i="19" l="1"/>
  <c r="J64" i="5"/>
  <c r="H66" i="12"/>
  <c r="H65" i="12"/>
  <c r="H67" i="12"/>
  <c r="H69" i="12" s="1"/>
  <c r="H53" i="12"/>
  <c r="H51" i="12"/>
  <c r="H48" i="12"/>
  <c r="H47" i="12"/>
  <c r="H35" i="12"/>
  <c r="H56" i="12" s="1"/>
  <c r="H34" i="12"/>
  <c r="H24" i="12"/>
  <c r="H27" i="12"/>
  <c r="H29" i="12" s="1"/>
  <c r="J56" i="5"/>
  <c r="J49" i="5"/>
  <c r="J23" i="5"/>
  <c r="J16" i="5"/>
  <c r="L8" i="5"/>
  <c r="K69" i="3"/>
  <c r="L69" i="3" s="1"/>
  <c r="I60" i="3"/>
  <c r="K60" i="3" s="1"/>
  <c r="G97" i="15" s="1"/>
  <c r="I56" i="3"/>
  <c r="I54" i="3"/>
  <c r="I49" i="3"/>
  <c r="K49" i="3" s="1"/>
  <c r="B2108" i="19" l="1"/>
  <c r="C2109" i="19"/>
  <c r="J25" i="5"/>
  <c r="J35" i="5" s="1"/>
  <c r="H58" i="12"/>
  <c r="H72" i="12" s="1"/>
  <c r="J58" i="5"/>
  <c r="J24" i="3"/>
  <c r="H24" i="3"/>
  <c r="G24" i="3" s="1"/>
  <c r="C39" i="6"/>
  <c r="E32" i="6"/>
  <c r="G6" i="6"/>
  <c r="H9" i="3" s="1"/>
  <c r="C2061" i="19"/>
  <c r="B2061" i="19" s="1"/>
  <c r="B2109" i="19" l="1"/>
  <c r="C2110" i="19"/>
  <c r="J69" i="5"/>
  <c r="J66" i="5"/>
  <c r="C2063" i="19"/>
  <c r="B2062" i="19"/>
  <c r="K56" i="3"/>
  <c r="G93" i="15" s="1"/>
  <c r="K52" i="3"/>
  <c r="G89" i="15" s="1"/>
  <c r="F89" i="15" s="1"/>
  <c r="B2110" i="19" l="1"/>
  <c r="B2063" i="19"/>
  <c r="G30" i="6"/>
  <c r="I19" i="32"/>
  <c r="I15" i="32"/>
  <c r="B2111" i="19" l="1"/>
  <c r="C2112" i="19"/>
  <c r="B2064" i="19"/>
  <c r="C2065" i="19"/>
  <c r="I48" i="32"/>
  <c r="I44" i="32"/>
  <c r="I41" i="32"/>
  <c r="I24" i="32"/>
  <c r="I21" i="32"/>
  <c r="G48" i="32"/>
  <c r="G44" i="32"/>
  <c r="G11" i="32"/>
  <c r="B2112" i="19" l="1"/>
  <c r="C2113" i="19"/>
  <c r="B2065" i="19"/>
  <c r="G49" i="32"/>
  <c r="I25" i="32"/>
  <c r="G25" i="32"/>
  <c r="M35" i="24"/>
  <c r="O35" i="24" s="1"/>
  <c r="P35" i="24" s="1"/>
  <c r="B2113" i="19" l="1"/>
  <c r="B2066" i="19"/>
  <c r="G51" i="32"/>
  <c r="G56" i="32" s="1"/>
  <c r="I49" i="32"/>
  <c r="I51" i="32" s="1"/>
  <c r="I56" i="32" s="1"/>
  <c r="B2114" i="19" l="1"/>
  <c r="B2067" i="19"/>
  <c r="K73" i="3"/>
  <c r="B2115" i="19" l="1"/>
  <c r="C2116" i="19"/>
  <c r="C2069" i="19"/>
  <c r="B2068" i="19"/>
  <c r="J9" i="3"/>
  <c r="G17" i="31"/>
  <c r="G10" i="31"/>
  <c r="B2116" i="19" l="1"/>
  <c r="B2069" i="19"/>
  <c r="C1971" i="19"/>
  <c r="B1971" i="19" s="1"/>
  <c r="B1970" i="19"/>
  <c r="B2117" i="19" l="1"/>
  <c r="B2070" i="19"/>
  <c r="C1972" i="19"/>
  <c r="B1972" i="19" s="1"/>
  <c r="B1973" i="19"/>
  <c r="B2118" i="19" l="1"/>
  <c r="B2071" i="19"/>
  <c r="B1974" i="19"/>
  <c r="B2119" i="19" l="1"/>
  <c r="B2072" i="19"/>
  <c r="B1975" i="19"/>
  <c r="B2120" i="19" l="1"/>
  <c r="B2073" i="19"/>
  <c r="B1976" i="19"/>
  <c r="B2121" i="19" l="1"/>
  <c r="C2075" i="19"/>
  <c r="B2074" i="19"/>
  <c r="B1977" i="19"/>
  <c r="C2123" i="19" l="1"/>
  <c r="B2122" i="19"/>
  <c r="B2075" i="19"/>
  <c r="B1978" i="19"/>
  <c r="B2123" i="19" l="1"/>
  <c r="B2076" i="19"/>
  <c r="C2077" i="19"/>
  <c r="B1979" i="19"/>
  <c r="B2124" i="19" l="1"/>
  <c r="B2077" i="19"/>
  <c r="B1980" i="19"/>
  <c r="B2125" i="19" l="1"/>
  <c r="C2079" i="19"/>
  <c r="B2078" i="19"/>
  <c r="B1981" i="19"/>
  <c r="B2126" i="19" l="1"/>
  <c r="B2079" i="19"/>
  <c r="B1982" i="19"/>
  <c r="B2127" i="19" l="1"/>
  <c r="C2128" i="19"/>
  <c r="C2081" i="19"/>
  <c r="B2080" i="19"/>
  <c r="B1983" i="19"/>
  <c r="B2128" i="19" l="1"/>
  <c r="C2129" i="19"/>
  <c r="B2081" i="19"/>
  <c r="B1984" i="19"/>
  <c r="B2129" i="19" l="1"/>
  <c r="C2083" i="19"/>
  <c r="B2082" i="19"/>
  <c r="B1985" i="19"/>
  <c r="B2130" i="19" l="1"/>
  <c r="B2083" i="19"/>
  <c r="B1986" i="19"/>
  <c r="C1987" i="19"/>
  <c r="B2131" i="19" l="1"/>
  <c r="B2084" i="19"/>
  <c r="C2085" i="19"/>
  <c r="B1987" i="19"/>
  <c r="B2132" i="19" l="1"/>
  <c r="B2085" i="19"/>
  <c r="B1988" i="19"/>
  <c r="B2133" i="19" l="1"/>
  <c r="B2086" i="19"/>
  <c r="B1989" i="19"/>
  <c r="C2135" i="19" l="1"/>
  <c r="B2134" i="19"/>
  <c r="B2087" i="19"/>
  <c r="B1990" i="19"/>
  <c r="B2135" i="19" l="1"/>
  <c r="B2088" i="19"/>
  <c r="C1992" i="19"/>
  <c r="B1991" i="19"/>
  <c r="B2136" i="19" l="1"/>
  <c r="C2137" i="19"/>
  <c r="B2089" i="19"/>
  <c r="B1992" i="19"/>
  <c r="B2137" i="19" l="1"/>
  <c r="B2090" i="19"/>
  <c r="B1993" i="19"/>
  <c r="B2138" i="19" l="1"/>
  <c r="B2091" i="19"/>
  <c r="B1994" i="19"/>
  <c r="B2139" i="19" l="1"/>
  <c r="B2092" i="19"/>
  <c r="B1995" i="19"/>
  <c r="C1996" i="19"/>
  <c r="B2140" i="19" l="1"/>
  <c r="C2141" i="19"/>
  <c r="B2093" i="19"/>
  <c r="C1997" i="19"/>
  <c r="B1996" i="19"/>
  <c r="B2141" i="19" l="1"/>
  <c r="B2094" i="19"/>
  <c r="C1998" i="19"/>
  <c r="B1997" i="19"/>
  <c r="C2143" i="19" l="1"/>
  <c r="B2142" i="19"/>
  <c r="B2095" i="19"/>
  <c r="B1998" i="19"/>
  <c r="B2143" i="19" l="1"/>
  <c r="B2096" i="19"/>
  <c r="B1999" i="19"/>
  <c r="B2144" i="19" l="1"/>
  <c r="B2097" i="19"/>
  <c r="B2000" i="19"/>
  <c r="B2145" i="19" l="1"/>
  <c r="C2099" i="19"/>
  <c r="B2098" i="19"/>
  <c r="B2001" i="19"/>
  <c r="C2002" i="19"/>
  <c r="C2147" i="19" l="1"/>
  <c r="B2146" i="19"/>
  <c r="B2099" i="19"/>
  <c r="B2002" i="19"/>
  <c r="B2147" i="19" l="1"/>
  <c r="C2148" i="19"/>
  <c r="B2148" i="19" s="1"/>
  <c r="B2100" i="19"/>
  <c r="B2003" i="19"/>
  <c r="B2101" i="19" l="1"/>
  <c r="B2004" i="19"/>
  <c r="B2103" i="19" l="1"/>
  <c r="B2102" i="19"/>
  <c r="C2006" i="19"/>
  <c r="B2005" i="19"/>
  <c r="B2006" i="19" l="1"/>
  <c r="B2007" i="19" l="1"/>
  <c r="B2008" i="19" l="1"/>
  <c r="B2009" i="19" l="1"/>
  <c r="C2010" i="19"/>
  <c r="C2011" i="19" l="1"/>
  <c r="B2010" i="19"/>
  <c r="B2011" i="19" l="1"/>
  <c r="B2012" i="19" l="1"/>
  <c r="B2013" i="19" l="1"/>
  <c r="B2014" i="19" l="1"/>
  <c r="B2015" i="19" l="1"/>
  <c r="C2017" i="19"/>
  <c r="C2018" i="19" l="1"/>
  <c r="B2017" i="19"/>
  <c r="B2016" i="19"/>
  <c r="C2019" i="19" l="1"/>
  <c r="B2018" i="19"/>
  <c r="G66" i="12"/>
  <c r="L66" i="12" s="1"/>
  <c r="M66" i="12" s="1"/>
  <c r="I57" i="3"/>
  <c r="K54" i="3"/>
  <c r="G67" i="12" l="1"/>
  <c r="B2019" i="19"/>
  <c r="G31" i="6"/>
  <c r="H15" i="3" s="1"/>
  <c r="B2020" i="19" l="1"/>
  <c r="J15" i="3"/>
  <c r="G15" i="3"/>
  <c r="G14" i="31"/>
  <c r="G21" i="31" s="1"/>
  <c r="B2021" i="19" l="1"/>
  <c r="C2022" i="19"/>
  <c r="G23" i="31"/>
  <c r="O57" i="30"/>
  <c r="O56" i="30"/>
  <c r="C2023" i="19" l="1"/>
  <c r="B2022" i="19"/>
  <c r="O42" i="30"/>
  <c r="O43" i="30"/>
  <c r="B2023" i="19" l="1"/>
  <c r="K34" i="30"/>
  <c r="K51" i="30"/>
  <c r="K56" i="30" s="1"/>
  <c r="K45" i="30"/>
  <c r="M45" i="30" s="1"/>
  <c r="K47" i="30"/>
  <c r="M47" i="30"/>
  <c r="K50" i="30"/>
  <c r="M50" i="30" s="1"/>
  <c r="M49" i="30"/>
  <c r="M48" i="30"/>
  <c r="M39" i="30"/>
  <c r="M38" i="30"/>
  <c r="M36" i="30"/>
  <c r="M35" i="30"/>
  <c r="K40" i="30"/>
  <c r="M40" i="30" s="1"/>
  <c r="K42" i="30"/>
  <c r="K43" i="30"/>
  <c r="M37" i="30"/>
  <c r="K33" i="30"/>
  <c r="K32" i="30"/>
  <c r="M32" i="30" s="1"/>
  <c r="B2024" i="19" l="1"/>
  <c r="M27" i="30"/>
  <c r="M23" i="30"/>
  <c r="M22" i="30"/>
  <c r="M21" i="30"/>
  <c r="M18" i="30"/>
  <c r="M16" i="30"/>
  <c r="K11" i="30"/>
  <c r="M11" i="30" s="1"/>
  <c r="B2025" i="19" l="1"/>
  <c r="M57" i="30"/>
  <c r="K57" i="30"/>
  <c r="J57" i="30"/>
  <c r="J52" i="30"/>
  <c r="J51" i="30"/>
  <c r="J46" i="30"/>
  <c r="J44" i="30"/>
  <c r="J43" i="30"/>
  <c r="J33" i="30"/>
  <c r="J26" i="30"/>
  <c r="J24" i="30"/>
  <c r="J20" i="30"/>
  <c r="J19" i="30"/>
  <c r="J17" i="30"/>
  <c r="J13" i="30"/>
  <c r="J10" i="30"/>
  <c r="M10" i="30" s="1"/>
  <c r="F110" i="15"/>
  <c r="G110" i="15" s="1"/>
  <c r="B1925" i="19"/>
  <c r="B2026" i="19" l="1"/>
  <c r="J56" i="30"/>
  <c r="M51" i="30"/>
  <c r="J41" i="30"/>
  <c r="K24" i="30"/>
  <c r="M24" i="30"/>
  <c r="O24" i="30" s="1"/>
  <c r="O25" i="30" s="1"/>
  <c r="O28" i="30" s="1"/>
  <c r="M43" i="30"/>
  <c r="K20" i="30"/>
  <c r="M20" i="30" s="1"/>
  <c r="M44" i="30"/>
  <c r="M52" i="30"/>
  <c r="J34" i="30"/>
  <c r="M34" i="30" s="1"/>
  <c r="M33" i="30"/>
  <c r="K26" i="30"/>
  <c r="M26" i="30" s="1"/>
  <c r="M46" i="30"/>
  <c r="K19" i="30"/>
  <c r="M19" i="30" s="1"/>
  <c r="K17" i="30"/>
  <c r="M17" i="30" s="1"/>
  <c r="K13" i="30"/>
  <c r="M13" i="30" s="1"/>
  <c r="J42" i="30"/>
  <c r="C1926" i="19"/>
  <c r="B2027" i="19" l="1"/>
  <c r="K41" i="30"/>
  <c r="K53" i="30" s="1"/>
  <c r="M42" i="30"/>
  <c r="M56" i="30"/>
  <c r="J53" i="30"/>
  <c r="B1926" i="19"/>
  <c r="B2028" i="19" l="1"/>
  <c r="M41" i="30"/>
  <c r="O41" i="30" s="1"/>
  <c r="O53" i="30" s="1"/>
  <c r="O54" i="30" s="1"/>
  <c r="O58" i="30" s="1"/>
  <c r="B1927" i="19"/>
  <c r="B2029" i="19" l="1"/>
  <c r="M53" i="30"/>
  <c r="B1928" i="19"/>
  <c r="C1929" i="19"/>
  <c r="B2030" i="19" l="1"/>
  <c r="B1929" i="19"/>
  <c r="B2031" i="19" l="1"/>
  <c r="B1930" i="19"/>
  <c r="C1931" i="19"/>
  <c r="B2032" i="19" l="1"/>
  <c r="C1932" i="19"/>
  <c r="B1931" i="19"/>
  <c r="B2033" i="19" l="1"/>
  <c r="B1932" i="19"/>
  <c r="C1933" i="19"/>
  <c r="B2034" i="19" l="1"/>
  <c r="B1933" i="19"/>
  <c r="B2035" i="19" l="1"/>
  <c r="B1934" i="19"/>
  <c r="B2036" i="19" l="1"/>
  <c r="C2037" i="19"/>
  <c r="B1935" i="19"/>
  <c r="C1936" i="19"/>
  <c r="B2037" i="19" l="1"/>
  <c r="B1936" i="19"/>
  <c r="C1937" i="19"/>
  <c r="B2038" i="19" l="1"/>
  <c r="B1937" i="19"/>
  <c r="C2040" i="19" l="1"/>
  <c r="B2039" i="19"/>
  <c r="C1939" i="19"/>
  <c r="B1938" i="19"/>
  <c r="B2040" i="19" l="1"/>
  <c r="C2041" i="19"/>
  <c r="B1939" i="19"/>
  <c r="B2041" i="19" l="1"/>
  <c r="C2042" i="19"/>
  <c r="B1940" i="19"/>
  <c r="B2042" i="19" l="1"/>
  <c r="C2043" i="19"/>
  <c r="B1941" i="19"/>
  <c r="C2044" i="19" l="1"/>
  <c r="B2043" i="19"/>
  <c r="B1942" i="19"/>
  <c r="C1943" i="19"/>
  <c r="B2044" i="19" l="1"/>
  <c r="B1943" i="19"/>
  <c r="B2045" i="19" l="1"/>
  <c r="C2046" i="19"/>
  <c r="B1944" i="19"/>
  <c r="C1945" i="19"/>
  <c r="B2046" i="19" l="1"/>
  <c r="B1945" i="19"/>
  <c r="B2047" i="19" l="1"/>
  <c r="C1947" i="19"/>
  <c r="B1946" i="19"/>
  <c r="B2048" i="19" l="1"/>
  <c r="B1947" i="19"/>
  <c r="C2050" i="19" l="1"/>
  <c r="B2049" i="19"/>
  <c r="B1948" i="19"/>
  <c r="B2050" i="19" l="1"/>
  <c r="B1949" i="19"/>
  <c r="B2051" i="19" l="1"/>
  <c r="B1950" i="19"/>
  <c r="B2052" i="19" l="1"/>
  <c r="C1952" i="19"/>
  <c r="B1951" i="19"/>
  <c r="B2053" i="19" l="1"/>
  <c r="B1952" i="19"/>
  <c r="B2054" i="19" l="1"/>
  <c r="C2055" i="19"/>
  <c r="B1953" i="19"/>
  <c r="B2055" i="19" l="1"/>
  <c r="C2056" i="19"/>
  <c r="B1954" i="19"/>
  <c r="B2056" i="19" l="1"/>
  <c r="C1956" i="19"/>
  <c r="B1955" i="19"/>
  <c r="B2057" i="19" l="1"/>
  <c r="B1956" i="19"/>
  <c r="C1957" i="19"/>
  <c r="C2059" i="19" l="1"/>
  <c r="B2058" i="19"/>
  <c r="B1957" i="19"/>
  <c r="B2060" i="19" l="1"/>
  <c r="B2059" i="19"/>
  <c r="C1959" i="19"/>
  <c r="B1958" i="19"/>
  <c r="B1959" i="19" l="1"/>
  <c r="B1960" i="19" l="1"/>
  <c r="B1961" i="19" l="1"/>
  <c r="B1962" i="19" l="1"/>
  <c r="B1963" i="19" l="1"/>
  <c r="B1964" i="19" l="1"/>
  <c r="C1965" i="19"/>
  <c r="B1965" i="19" l="1"/>
  <c r="B1966" i="19" l="1"/>
  <c r="B1967" i="19" l="1"/>
  <c r="B1968" i="19" l="1"/>
  <c r="B1969" i="19"/>
  <c r="M9" i="24" l="1"/>
  <c r="M68" i="24" s="1"/>
  <c r="J52" i="24"/>
  <c r="O52" i="24" l="1"/>
  <c r="P52" i="24" s="1"/>
  <c r="J57" i="24"/>
  <c r="O57" i="24" s="1"/>
  <c r="C51" i="6"/>
  <c r="K116" i="29" l="1"/>
  <c r="G116" i="29"/>
  <c r="K114" i="29"/>
  <c r="J114" i="29"/>
  <c r="I114" i="29"/>
  <c r="H114" i="29"/>
  <c r="G114" i="29"/>
  <c r="K109" i="29"/>
  <c r="K100" i="29"/>
  <c r="J100" i="29"/>
  <c r="I100" i="29"/>
  <c r="H100" i="29"/>
  <c r="K96" i="29"/>
  <c r="H96" i="29"/>
  <c r="H101" i="29" s="1"/>
  <c r="J87" i="29"/>
  <c r="J109" i="29" s="1"/>
  <c r="I87" i="29"/>
  <c r="I109" i="29" s="1"/>
  <c r="H87" i="29"/>
  <c r="H109" i="29" s="1"/>
  <c r="K85" i="29"/>
  <c r="J85" i="29"/>
  <c r="I85" i="29"/>
  <c r="H85" i="29"/>
  <c r="K78" i="29"/>
  <c r="K79" i="29" s="1"/>
  <c r="J78" i="29"/>
  <c r="K74" i="29"/>
  <c r="J74" i="29"/>
  <c r="J96" i="29" s="1"/>
  <c r="I74" i="29"/>
  <c r="I79" i="29" s="1"/>
  <c r="H74" i="29"/>
  <c r="H79" i="29" s="1"/>
  <c r="K71" i="29"/>
  <c r="J71" i="29"/>
  <c r="I71" i="29"/>
  <c r="H71" i="29"/>
  <c r="K70" i="29"/>
  <c r="K69" i="29"/>
  <c r="J67" i="29"/>
  <c r="I67" i="29"/>
  <c r="H67" i="29"/>
  <c r="K66" i="29"/>
  <c r="K65" i="29"/>
  <c r="K67" i="29" s="1"/>
  <c r="K60" i="29"/>
  <c r="J60" i="29"/>
  <c r="H60" i="29"/>
  <c r="K50" i="29"/>
  <c r="G50" i="29"/>
  <c r="H49" i="29"/>
  <c r="G46" i="29"/>
  <c r="K45" i="29"/>
  <c r="J45" i="29"/>
  <c r="H45" i="29"/>
  <c r="J40" i="29"/>
  <c r="H40" i="29"/>
  <c r="J39" i="29"/>
  <c r="J38" i="29"/>
  <c r="H38" i="29"/>
  <c r="K37" i="29"/>
  <c r="K36" i="29"/>
  <c r="K76" i="29" s="1"/>
  <c r="K98" i="29" s="1"/>
  <c r="J36" i="29"/>
  <c r="J107" i="29" s="1"/>
  <c r="I36" i="29"/>
  <c r="I107" i="29" s="1"/>
  <c r="H36" i="29"/>
  <c r="H107" i="29" s="1"/>
  <c r="G36" i="29"/>
  <c r="J35" i="29"/>
  <c r="J50" i="29" s="1"/>
  <c r="I35" i="29"/>
  <c r="I50" i="29" s="1"/>
  <c r="H35" i="29"/>
  <c r="H50" i="29" s="1"/>
  <c r="K29" i="29"/>
  <c r="J28" i="29"/>
  <c r="J29" i="29" s="1"/>
  <c r="I28" i="29"/>
  <c r="H28" i="29"/>
  <c r="K19" i="29"/>
  <c r="J18" i="29"/>
  <c r="J21" i="29" s="1"/>
  <c r="H18" i="29"/>
  <c r="H21" i="29" s="1"/>
  <c r="G16" i="29"/>
  <c r="K15" i="29"/>
  <c r="K18" i="29" s="1"/>
  <c r="G15" i="29"/>
  <c r="I12" i="29"/>
  <c r="I8" i="29"/>
  <c r="I60" i="29" s="1"/>
  <c r="G8" i="29"/>
  <c r="G115" i="29" l="1"/>
  <c r="I18" i="29"/>
  <c r="I21" i="29" s="1"/>
  <c r="K21" i="29"/>
  <c r="J101" i="29"/>
  <c r="K107" i="29"/>
  <c r="I96" i="29"/>
  <c r="I101" i="29" s="1"/>
  <c r="I46" i="29"/>
  <c r="I54" i="29" s="1"/>
  <c r="G18" i="29"/>
  <c r="G21" i="29" s="1"/>
  <c r="G47" i="29" s="1"/>
  <c r="G51" i="29" s="1"/>
  <c r="K101" i="29"/>
  <c r="J46" i="29"/>
  <c r="J47" i="29" s="1"/>
  <c r="J51" i="29" s="1"/>
  <c r="K46" i="29"/>
  <c r="K57" i="29" s="1"/>
  <c r="J79" i="29"/>
  <c r="J63" i="29"/>
  <c r="J57" i="29"/>
  <c r="J54" i="29"/>
  <c r="H23" i="29"/>
  <c r="K115" i="29"/>
  <c r="K54" i="29"/>
  <c r="K47" i="29"/>
  <c r="K51" i="29" s="1"/>
  <c r="G57" i="29"/>
  <c r="H76" i="29"/>
  <c r="H98" i="29" s="1"/>
  <c r="H116" i="29"/>
  <c r="H46" i="29"/>
  <c r="H47" i="29" s="1"/>
  <c r="H51" i="29" s="1"/>
  <c r="I76" i="29"/>
  <c r="I98" i="29" s="1"/>
  <c r="I116" i="29"/>
  <c r="G54" i="29"/>
  <c r="J76" i="29"/>
  <c r="J98" i="29" s="1"/>
  <c r="J116" i="29"/>
  <c r="J115" i="29" s="1"/>
  <c r="I75" i="29" l="1"/>
  <c r="I84" i="29" s="1"/>
  <c r="K63" i="29"/>
  <c r="I47" i="29"/>
  <c r="I51" i="29" s="1"/>
  <c r="I63" i="29"/>
  <c r="J75" i="29"/>
  <c r="J80" i="29" s="1"/>
  <c r="I57" i="29"/>
  <c r="I115" i="29"/>
  <c r="K75" i="29"/>
  <c r="K97" i="29" s="1"/>
  <c r="H115" i="29"/>
  <c r="H54" i="29"/>
  <c r="H63" i="29"/>
  <c r="H57" i="29"/>
  <c r="H75" i="29"/>
  <c r="K77" i="29" l="1"/>
  <c r="J77" i="29"/>
  <c r="I97" i="29"/>
  <c r="I106" i="29" s="1"/>
  <c r="K80" i="29"/>
  <c r="I77" i="29"/>
  <c r="J84" i="29"/>
  <c r="I80" i="29"/>
  <c r="J97" i="29"/>
  <c r="J106" i="29" s="1"/>
  <c r="K84" i="29"/>
  <c r="I99" i="29"/>
  <c r="I83" i="29"/>
  <c r="K106" i="29"/>
  <c r="K102" i="29"/>
  <c r="K99" i="29"/>
  <c r="J83" i="29"/>
  <c r="H97" i="29"/>
  <c r="H77" i="29"/>
  <c r="H84" i="29"/>
  <c r="H80" i="29"/>
  <c r="K83" i="29"/>
  <c r="J99" i="29" l="1"/>
  <c r="J102" i="29"/>
  <c r="I102" i="29"/>
  <c r="H106" i="29"/>
  <c r="H102" i="29"/>
  <c r="H99" i="29"/>
  <c r="J105" i="29"/>
  <c r="H83" i="29"/>
  <c r="K105" i="29"/>
  <c r="I86" i="29"/>
  <c r="I88" i="29"/>
  <c r="K86" i="29"/>
  <c r="K88" i="29"/>
  <c r="J86" i="29"/>
  <c r="J88" i="29"/>
  <c r="I105" i="29"/>
  <c r="J110" i="29" l="1"/>
  <c r="J108" i="29"/>
  <c r="K110" i="29"/>
  <c r="K112" i="29" s="1"/>
  <c r="K108" i="29"/>
  <c r="K89" i="29"/>
  <c r="K91" i="29"/>
  <c r="H88" i="29"/>
  <c r="H86" i="29"/>
  <c r="K90" i="29"/>
  <c r="I110" i="29"/>
  <c r="I108" i="29"/>
  <c r="I89" i="29"/>
  <c r="I91" i="29"/>
  <c r="I90" i="29"/>
  <c r="J89" i="29"/>
  <c r="J91" i="29"/>
  <c r="J90" i="29"/>
  <c r="H105" i="29"/>
  <c r="H110" i="29" l="1"/>
  <c r="H108" i="29"/>
  <c r="H89" i="29"/>
  <c r="H91" i="29"/>
  <c r="I111" i="29"/>
  <c r="I113" i="29"/>
  <c r="I112" i="29"/>
  <c r="K111" i="29"/>
  <c r="K113" i="29"/>
  <c r="J111" i="29"/>
  <c r="J113" i="29"/>
  <c r="H90" i="29"/>
  <c r="J112" i="29"/>
  <c r="H111" i="29" l="1"/>
  <c r="H113" i="29"/>
  <c r="H112" i="29"/>
  <c r="A4" i="24" l="1"/>
  <c r="K9" i="24"/>
  <c r="K68" i="24" s="1"/>
  <c r="B1883" i="19" l="1"/>
  <c r="B1882" i="19"/>
  <c r="M15" i="24"/>
  <c r="B1884" i="19" l="1"/>
  <c r="C1885" i="19"/>
  <c r="B1885" i="19" l="1"/>
  <c r="J71" i="12"/>
  <c r="B1886" i="19" l="1"/>
  <c r="B1887" i="19" l="1"/>
  <c r="F109" i="15"/>
  <c r="D105" i="15"/>
  <c r="G73" i="15"/>
  <c r="B1888" i="19" l="1"/>
  <c r="C1850" i="19"/>
  <c r="C1856" i="19" s="1"/>
  <c r="C1857" i="19" s="1"/>
  <c r="C1862" i="19" s="1"/>
  <c r="C1875" i="19" s="1"/>
  <c r="C1877" i="19" s="1"/>
  <c r="B1881" i="19" s="1"/>
  <c r="B1889" i="19" l="1"/>
  <c r="B1857" i="19"/>
  <c r="B1849" i="19"/>
  <c r="B1850" i="19"/>
  <c r="B1865" i="19"/>
  <c r="B1873" i="19"/>
  <c r="B1866" i="19"/>
  <c r="B1868" i="19"/>
  <c r="B1845" i="19"/>
  <c r="B1853" i="19"/>
  <c r="B1861" i="19"/>
  <c r="B1877" i="19"/>
  <c r="B1862" i="19"/>
  <c r="B1878" i="19"/>
  <c r="B1847" i="19"/>
  <c r="B1855" i="19"/>
  <c r="B1863" i="19"/>
  <c r="B1871" i="19"/>
  <c r="B1879" i="19"/>
  <c r="B1858" i="19"/>
  <c r="B1874" i="19"/>
  <c r="B1851" i="19"/>
  <c r="B1859" i="19"/>
  <c r="B1867" i="19"/>
  <c r="B1875" i="19"/>
  <c r="B1852" i="19"/>
  <c r="B1860" i="19"/>
  <c r="B1876" i="19"/>
  <c r="B1869" i="19"/>
  <c r="B1846" i="19"/>
  <c r="B1854" i="19"/>
  <c r="B1870" i="19"/>
  <c r="B1848" i="19"/>
  <c r="B1856" i="19"/>
  <c r="B1864" i="19"/>
  <c r="B1872" i="19"/>
  <c r="B1880" i="19"/>
  <c r="J67" i="12"/>
  <c r="C1891" i="19" l="1"/>
  <c r="B1890" i="19"/>
  <c r="J57" i="3"/>
  <c r="B1891" i="19" l="1"/>
  <c r="E99" i="15"/>
  <c r="G109" i="15"/>
  <c r="B1892" i="19" l="1"/>
  <c r="B1893" i="19" l="1"/>
  <c r="B1894" i="19" l="1"/>
  <c r="G18" i="12"/>
  <c r="G27" i="12" l="1"/>
  <c r="L18" i="12"/>
  <c r="M18" i="12" s="1"/>
  <c r="J15" i="30"/>
  <c r="M15" i="30" s="1"/>
  <c r="B1895" i="19"/>
  <c r="G48" i="6"/>
  <c r="G29" i="12" l="1"/>
  <c r="B1896" i="19"/>
  <c r="K117" i="28"/>
  <c r="J117" i="28"/>
  <c r="G117" i="28"/>
  <c r="K115" i="28"/>
  <c r="J115" i="28"/>
  <c r="I115" i="28"/>
  <c r="H115" i="28"/>
  <c r="G115" i="28"/>
  <c r="K110" i="28"/>
  <c r="I110" i="28"/>
  <c r="J108" i="28"/>
  <c r="I108" i="28"/>
  <c r="K101" i="28"/>
  <c r="J101" i="28"/>
  <c r="I101" i="28"/>
  <c r="H101" i="28"/>
  <c r="J88" i="28"/>
  <c r="J110" i="28" s="1"/>
  <c r="I88" i="28"/>
  <c r="H88" i="28"/>
  <c r="H110" i="28" s="1"/>
  <c r="I86" i="28"/>
  <c r="H86" i="28"/>
  <c r="K80" i="28"/>
  <c r="K79" i="28"/>
  <c r="J79" i="28"/>
  <c r="J77" i="28"/>
  <c r="J99" i="28" s="1"/>
  <c r="K75" i="28"/>
  <c r="K97" i="28" s="1"/>
  <c r="J75" i="28"/>
  <c r="J97" i="28" s="1"/>
  <c r="I75" i="28"/>
  <c r="I97" i="28" s="1"/>
  <c r="I102" i="28" s="1"/>
  <c r="H75" i="28"/>
  <c r="H80" i="28" s="1"/>
  <c r="J72" i="28"/>
  <c r="I72" i="28"/>
  <c r="H72" i="28"/>
  <c r="K71" i="28"/>
  <c r="K70" i="28"/>
  <c r="J68" i="28"/>
  <c r="I68" i="28"/>
  <c r="H68" i="28"/>
  <c r="K67" i="28"/>
  <c r="K66" i="28"/>
  <c r="J61" i="28"/>
  <c r="H61" i="28"/>
  <c r="G51" i="28"/>
  <c r="H50" i="28"/>
  <c r="J46" i="28"/>
  <c r="H46" i="28"/>
  <c r="K45" i="28"/>
  <c r="K43" i="28"/>
  <c r="K42" i="28"/>
  <c r="J41" i="28"/>
  <c r="H41" i="28"/>
  <c r="J40" i="28"/>
  <c r="J39" i="28"/>
  <c r="H39" i="28"/>
  <c r="K38" i="28"/>
  <c r="K37" i="28"/>
  <c r="K108" i="28" s="1"/>
  <c r="J37" i="28"/>
  <c r="J86" i="28" s="1"/>
  <c r="I37" i="28"/>
  <c r="H37" i="28"/>
  <c r="H108" i="28" s="1"/>
  <c r="G37" i="28"/>
  <c r="G47" i="28" s="1"/>
  <c r="K36" i="28"/>
  <c r="K51" i="28" s="1"/>
  <c r="J36" i="28"/>
  <c r="J51" i="28" s="1"/>
  <c r="I36" i="28"/>
  <c r="I117" i="28" s="1"/>
  <c r="H36" i="28"/>
  <c r="H51" i="28" s="1"/>
  <c r="K33" i="28"/>
  <c r="K29" i="28"/>
  <c r="J29" i="28"/>
  <c r="J30" i="28" s="1"/>
  <c r="I29" i="28"/>
  <c r="H29" i="28"/>
  <c r="K20" i="28"/>
  <c r="J19" i="28"/>
  <c r="J22" i="28" s="1"/>
  <c r="H19" i="28"/>
  <c r="H22" i="28" s="1"/>
  <c r="H24" i="28" s="1"/>
  <c r="G17" i="28"/>
  <c r="G19" i="28" s="1"/>
  <c r="G22" i="28" s="1"/>
  <c r="G48" i="28" s="1"/>
  <c r="G52" i="28" s="1"/>
  <c r="G16" i="28"/>
  <c r="I13" i="28"/>
  <c r="K11" i="28"/>
  <c r="K9" i="28"/>
  <c r="K61" i="28" s="1"/>
  <c r="I9" i="28"/>
  <c r="I19" i="28" s="1"/>
  <c r="I22" i="28" s="1"/>
  <c r="G9" i="28"/>
  <c r="A3" i="28"/>
  <c r="I80" i="28" l="1"/>
  <c r="I61" i="28"/>
  <c r="K72" i="28"/>
  <c r="H97" i="28"/>
  <c r="H102" i="28" s="1"/>
  <c r="K86" i="28"/>
  <c r="J47" i="28"/>
  <c r="J116" i="28" s="1"/>
  <c r="H47" i="28"/>
  <c r="H64" i="28" s="1"/>
  <c r="K68" i="28"/>
  <c r="K19" i="28"/>
  <c r="K22" i="28" s="1"/>
  <c r="K77" i="28"/>
  <c r="K99" i="28" s="1"/>
  <c r="I47" i="28"/>
  <c r="I55" i="28" s="1"/>
  <c r="B1897" i="19"/>
  <c r="G116" i="28"/>
  <c r="G58" i="28"/>
  <c r="G55" i="28"/>
  <c r="J102" i="28"/>
  <c r="I64" i="28"/>
  <c r="I58" i="28"/>
  <c r="I76" i="28"/>
  <c r="I116" i="28"/>
  <c r="J64" i="28"/>
  <c r="J58" i="28"/>
  <c r="I48" i="28"/>
  <c r="I52" i="28" s="1"/>
  <c r="K102" i="28"/>
  <c r="I51" i="28"/>
  <c r="J80" i="28"/>
  <c r="H77" i="28"/>
  <c r="H99" i="28" s="1"/>
  <c r="H117" i="28"/>
  <c r="K30" i="28"/>
  <c r="K47" i="28" s="1"/>
  <c r="I77" i="28"/>
  <c r="I99" i="28" s="1"/>
  <c r="J55" i="28" l="1"/>
  <c r="J76" i="28"/>
  <c r="J78" i="28" s="1"/>
  <c r="H55" i="28"/>
  <c r="J48" i="28"/>
  <c r="J52" i="28" s="1"/>
  <c r="H116" i="28"/>
  <c r="H48" i="28"/>
  <c r="H52" i="28" s="1"/>
  <c r="H58" i="28"/>
  <c r="C1899" i="19"/>
  <c r="B1898" i="19"/>
  <c r="K76" i="28"/>
  <c r="K116" i="28"/>
  <c r="K55" i="28"/>
  <c r="K64" i="28"/>
  <c r="K58" i="28"/>
  <c r="K48" i="28"/>
  <c r="K52" i="28" s="1"/>
  <c r="I81" i="28"/>
  <c r="I85" i="28"/>
  <c r="I78" i="28"/>
  <c r="I98" i="28"/>
  <c r="H76" i="28"/>
  <c r="J85" i="28"/>
  <c r="J81" i="28"/>
  <c r="J98" i="28"/>
  <c r="B1899" i="19" l="1"/>
  <c r="I84" i="28"/>
  <c r="H98" i="28"/>
  <c r="H81" i="28"/>
  <c r="H85" i="28"/>
  <c r="H78" i="28"/>
  <c r="K85" i="28"/>
  <c r="K81" i="28"/>
  <c r="K98" i="28"/>
  <c r="K78" i="28"/>
  <c r="J107" i="28"/>
  <c r="J103" i="28"/>
  <c r="J100" i="28"/>
  <c r="J84" i="28"/>
  <c r="I100" i="28"/>
  <c r="I107" i="28"/>
  <c r="I103" i="28"/>
  <c r="B1900" i="19" l="1"/>
  <c r="I106" i="28"/>
  <c r="K107" i="28"/>
  <c r="K103" i="28"/>
  <c r="K100" i="28"/>
  <c r="K84" i="28"/>
  <c r="H84" i="28"/>
  <c r="J106" i="28"/>
  <c r="H107" i="28"/>
  <c r="H103" i="28"/>
  <c r="H100" i="28"/>
  <c r="J87" i="28"/>
  <c r="J89" i="28"/>
  <c r="J91" i="28" s="1"/>
  <c r="I87" i="28"/>
  <c r="I89" i="28"/>
  <c r="I91" i="28" s="1"/>
  <c r="B1901" i="19" l="1"/>
  <c r="K87" i="28"/>
  <c r="K89" i="28"/>
  <c r="I90" i="28"/>
  <c r="I92" i="28"/>
  <c r="H106" i="28"/>
  <c r="J111" i="28"/>
  <c r="J113" i="28" s="1"/>
  <c r="J109" i="28"/>
  <c r="K106" i="28"/>
  <c r="I111" i="28"/>
  <c r="I113" i="28" s="1"/>
  <c r="I109" i="28"/>
  <c r="J90" i="28"/>
  <c r="J92" i="28"/>
  <c r="H87" i="28"/>
  <c r="H89" i="28"/>
  <c r="H91" i="28" s="1"/>
  <c r="B1902" i="19" l="1"/>
  <c r="H111" i="28"/>
  <c r="H109" i="28"/>
  <c r="H90" i="28"/>
  <c r="H92" i="28"/>
  <c r="K90" i="28"/>
  <c r="K92" i="28"/>
  <c r="I112" i="28"/>
  <c r="I114" i="28"/>
  <c r="K111" i="28"/>
  <c r="K109" i="28"/>
  <c r="K91" i="28"/>
  <c r="J112" i="28"/>
  <c r="J114" i="28"/>
  <c r="B1903" i="19" l="1"/>
  <c r="K112" i="28"/>
  <c r="K114" i="28"/>
  <c r="K113" i="28"/>
  <c r="H112" i="28"/>
  <c r="H114" i="28"/>
  <c r="H113" i="28"/>
  <c r="B1904" i="19" l="1"/>
  <c r="C1905" i="19"/>
  <c r="G47" i="27"/>
  <c r="G43" i="27"/>
  <c r="G48" i="27" s="1"/>
  <c r="I37" i="27"/>
  <c r="G35" i="27"/>
  <c r="I28" i="27"/>
  <c r="I48" i="27" s="1"/>
  <c r="I24" i="27"/>
  <c r="G11" i="27"/>
  <c r="G24" i="27" s="1"/>
  <c r="B1905" i="19" l="1"/>
  <c r="C1906" i="19"/>
  <c r="G50" i="27"/>
  <c r="G55" i="27" s="1"/>
  <c r="I50" i="27"/>
  <c r="I55" i="27" s="1"/>
  <c r="C1907" i="19" l="1"/>
  <c r="B1906" i="19"/>
  <c r="G90" i="15"/>
  <c r="G91" i="15"/>
  <c r="B1907" i="19" l="1"/>
  <c r="C97" i="6"/>
  <c r="B1908" i="19" l="1"/>
  <c r="C1909" i="19"/>
  <c r="G41" i="6"/>
  <c r="B1909" i="19" l="1"/>
  <c r="C1712" i="19"/>
  <c r="B1712" i="19" s="1"/>
  <c r="B1710" i="19"/>
  <c r="B1910" i="19" l="1"/>
  <c r="B1713" i="19"/>
  <c r="B1911" i="19" l="1"/>
  <c r="B1714" i="19"/>
  <c r="C1715" i="19"/>
  <c r="B1912" i="19" l="1"/>
  <c r="B1715" i="19"/>
  <c r="G102" i="15"/>
  <c r="C1665" i="19"/>
  <c r="C1666" i="19" s="1"/>
  <c r="C1659" i="19"/>
  <c r="C1660" i="19" s="1"/>
  <c r="B1660" i="19" s="1"/>
  <c r="B1664" i="19"/>
  <c r="B1663" i="19"/>
  <c r="B1662" i="19"/>
  <c r="B1661" i="19"/>
  <c r="B1913" i="19" l="1"/>
  <c r="B1716" i="19"/>
  <c r="C1667" i="19"/>
  <c r="B1666" i="19"/>
  <c r="B1665" i="19"/>
  <c r="B1914" i="19" l="1"/>
  <c r="B1717" i="19"/>
  <c r="B1667" i="19"/>
  <c r="B1915" i="19" l="1"/>
  <c r="C1916" i="19"/>
  <c r="B1718" i="19"/>
  <c r="B1668" i="19"/>
  <c r="B1916" i="19" l="1"/>
  <c r="C1720" i="19"/>
  <c r="B1719" i="19"/>
  <c r="B1669" i="19"/>
  <c r="B1917" i="19" l="1"/>
  <c r="B1720" i="19"/>
  <c r="C1671" i="19"/>
  <c r="B1670" i="19"/>
  <c r="B1918" i="19" l="1"/>
  <c r="B1721" i="19"/>
  <c r="B1671" i="19"/>
  <c r="C1672" i="19"/>
  <c r="B1612" i="19"/>
  <c r="B1919" i="19" l="1"/>
  <c r="C1920" i="19"/>
  <c r="B1722" i="19"/>
  <c r="C1723" i="19"/>
  <c r="B1672" i="19"/>
  <c r="B1920" i="19" l="1"/>
  <c r="B1723" i="19"/>
  <c r="B1673" i="19"/>
  <c r="B1613" i="19"/>
  <c r="B1921" i="19" l="1"/>
  <c r="C1922" i="19"/>
  <c r="C1725" i="19"/>
  <c r="B1724" i="19"/>
  <c r="C1675" i="19"/>
  <c r="B1674" i="19"/>
  <c r="C1615" i="19"/>
  <c r="B1614" i="19"/>
  <c r="C1923" i="19" l="1"/>
  <c r="B1922" i="19"/>
  <c r="B1725" i="19"/>
  <c r="B1675" i="19"/>
  <c r="C1676" i="19"/>
  <c r="B1615" i="19"/>
  <c r="B1924" i="19" l="1"/>
  <c r="B1923" i="19"/>
  <c r="B1726" i="19"/>
  <c r="C1727" i="19"/>
  <c r="C1677" i="19"/>
  <c r="B1676" i="19"/>
  <c r="B1616" i="19"/>
  <c r="C1617" i="19"/>
  <c r="B1727" i="19" l="1"/>
  <c r="C1678" i="19"/>
  <c r="B1677" i="19"/>
  <c r="B1617" i="19"/>
  <c r="G64" i="6"/>
  <c r="B1728" i="19" l="1"/>
  <c r="B1678" i="19"/>
  <c r="C1619" i="19"/>
  <c r="B1618" i="19"/>
  <c r="D108" i="15"/>
  <c r="B1570" i="19"/>
  <c r="C1575" i="19"/>
  <c r="C1576" i="19" s="1"/>
  <c r="C1577" i="19" s="1"/>
  <c r="C1580" i="19" s="1"/>
  <c r="C1589" i="19" s="1"/>
  <c r="C1595" i="19" s="1"/>
  <c r="C1596" i="19" s="1"/>
  <c r="C1597" i="19" s="1"/>
  <c r="C1600" i="19" s="1"/>
  <c r="C1602" i="19" s="1"/>
  <c r="C1605" i="19" s="1"/>
  <c r="C1606" i="19" s="1"/>
  <c r="C1609" i="19" s="1"/>
  <c r="C1610" i="19" s="1"/>
  <c r="B1611" i="19" s="1"/>
  <c r="B1729" i="19" l="1"/>
  <c r="B1679" i="19"/>
  <c r="C1680" i="19"/>
  <c r="C1620" i="19"/>
  <c r="B1619" i="19"/>
  <c r="B1585" i="19"/>
  <c r="B1602" i="19"/>
  <c r="B1576" i="19"/>
  <c r="B1584" i="19"/>
  <c r="B1592" i="19"/>
  <c r="B1600" i="19"/>
  <c r="B1608" i="19"/>
  <c r="B1577" i="19"/>
  <c r="B1593" i="19"/>
  <c r="B1601" i="19"/>
  <c r="B1609" i="19"/>
  <c r="B1578" i="19"/>
  <c r="B1586" i="19"/>
  <c r="B1610" i="19"/>
  <c r="B1571" i="19"/>
  <c r="B1587" i="19"/>
  <c r="B1572" i="19"/>
  <c r="B1573" i="19"/>
  <c r="B1597" i="19"/>
  <c r="B1606" i="19"/>
  <c r="B1594" i="19"/>
  <c r="B1579" i="19"/>
  <c r="B1595" i="19"/>
  <c r="B1603" i="19"/>
  <c r="B1580" i="19"/>
  <c r="B1588" i="19"/>
  <c r="B1596" i="19"/>
  <c r="B1604" i="19"/>
  <c r="B1581" i="19"/>
  <c r="B1589" i="19"/>
  <c r="B1605" i="19"/>
  <c r="B1574" i="19"/>
  <c r="B1582" i="19"/>
  <c r="B1590" i="19"/>
  <c r="B1598" i="19"/>
  <c r="B1575" i="19"/>
  <c r="B1583" i="19"/>
  <c r="B1591" i="19"/>
  <c r="B1599" i="19"/>
  <c r="B1607" i="19"/>
  <c r="B1730" i="19" l="1"/>
  <c r="B1680" i="19"/>
  <c r="B1620" i="19"/>
  <c r="K25" i="24"/>
  <c r="K42" i="24" s="1"/>
  <c r="B1731" i="19" l="1"/>
  <c r="C1732" i="19"/>
  <c r="C1682" i="19"/>
  <c r="B1681" i="19"/>
  <c r="K26" i="24"/>
  <c r="C1622" i="19"/>
  <c r="B1621" i="19"/>
  <c r="C1733" i="19" l="1"/>
  <c r="B1732" i="19"/>
  <c r="B1682" i="19"/>
  <c r="B1622" i="19"/>
  <c r="L66" i="3"/>
  <c r="B1733" i="19" l="1"/>
  <c r="B1683" i="19"/>
  <c r="B1623" i="19"/>
  <c r="L65" i="3"/>
  <c r="B1734" i="19" l="1"/>
  <c r="B1684" i="19"/>
  <c r="B1624" i="19"/>
  <c r="L68" i="3"/>
  <c r="B1568" i="19"/>
  <c r="C1525" i="19"/>
  <c r="C1526" i="19" s="1"/>
  <c r="B1526" i="19" s="1"/>
  <c r="J58" i="24"/>
  <c r="B1735" i="19" l="1"/>
  <c r="C1736" i="19"/>
  <c r="C1686" i="19"/>
  <c r="B1685" i="19"/>
  <c r="B1625" i="19"/>
  <c r="C1626" i="19"/>
  <c r="B1525" i="19"/>
  <c r="B1736" i="19" l="1"/>
  <c r="B1686" i="19"/>
  <c r="B1626" i="19"/>
  <c r="C1528" i="19"/>
  <c r="B1527" i="19"/>
  <c r="B1737" i="19" l="1"/>
  <c r="B1687" i="19"/>
  <c r="C1688" i="19"/>
  <c r="B1627" i="19"/>
  <c r="C1628" i="19"/>
  <c r="C1529" i="19"/>
  <c r="B1528" i="19"/>
  <c r="B1738" i="19" l="1"/>
  <c r="C1689" i="19"/>
  <c r="B1688" i="19"/>
  <c r="B1628" i="19"/>
  <c r="B1529" i="19"/>
  <c r="B1739" i="19" l="1"/>
  <c r="C1740" i="19"/>
  <c r="B1689" i="19"/>
  <c r="B1629" i="19"/>
  <c r="B1530" i="19"/>
  <c r="B1504" i="19"/>
  <c r="C1505" i="19"/>
  <c r="B1740" i="19" l="1"/>
  <c r="B1690" i="19"/>
  <c r="B1630" i="19"/>
  <c r="B1531" i="19"/>
  <c r="B1505" i="19"/>
  <c r="C154" i="6"/>
  <c r="C1742" i="19" l="1"/>
  <c r="B1741" i="19"/>
  <c r="B1691" i="19"/>
  <c r="B1631" i="19"/>
  <c r="B1532" i="19"/>
  <c r="C1533" i="19"/>
  <c r="B1506" i="19"/>
  <c r="C1507" i="19"/>
  <c r="B1498" i="19"/>
  <c r="B1497" i="19"/>
  <c r="B1494" i="19"/>
  <c r="B1492" i="19"/>
  <c r="B1491" i="19"/>
  <c r="B1490" i="19"/>
  <c r="B1486" i="19"/>
  <c r="B1484" i="19"/>
  <c r="B1481" i="19"/>
  <c r="B1479" i="19"/>
  <c r="B1478" i="19"/>
  <c r="B1476" i="19"/>
  <c r="B1474" i="19"/>
  <c r="B1473" i="19"/>
  <c r="B1472" i="19"/>
  <c r="B1471" i="19"/>
  <c r="B1469" i="19"/>
  <c r="B1468" i="19"/>
  <c r="B1467" i="19"/>
  <c r="B1466" i="19"/>
  <c r="B1465" i="19"/>
  <c r="B1464" i="19"/>
  <c r="B1463" i="19"/>
  <c r="B1462" i="19"/>
  <c r="B1461" i="19"/>
  <c r="B1460" i="19"/>
  <c r="B1459" i="19"/>
  <c r="B1458" i="19"/>
  <c r="B1457" i="19"/>
  <c r="C1499" i="19"/>
  <c r="C1502" i="19" s="1"/>
  <c r="C1495" i="19"/>
  <c r="C1496" i="19" s="1"/>
  <c r="B1496" i="19" s="1"/>
  <c r="C1493" i="19"/>
  <c r="B1493" i="19" s="1"/>
  <c r="C1487" i="19"/>
  <c r="C1488" i="19" s="1"/>
  <c r="C1489" i="19" s="1"/>
  <c r="B1489" i="19" s="1"/>
  <c r="C1485" i="19"/>
  <c r="B1485" i="19" s="1"/>
  <c r="C1482" i="19"/>
  <c r="C1483" i="19" s="1"/>
  <c r="B1483" i="19" s="1"/>
  <c r="C1480" i="19"/>
  <c r="B1480" i="19" s="1"/>
  <c r="C1477" i="19"/>
  <c r="B1477" i="19" s="1"/>
  <c r="C1475" i="19"/>
  <c r="B1475" i="19" s="1"/>
  <c r="C1470" i="19"/>
  <c r="B1470" i="19" s="1"/>
  <c r="B1742" i="19" l="1"/>
  <c r="B1692" i="19"/>
  <c r="B1632" i="19"/>
  <c r="B1533" i="19"/>
  <c r="B1502" i="19"/>
  <c r="C1503" i="19"/>
  <c r="B1503" i="19" s="1"/>
  <c r="B1507" i="19"/>
  <c r="B1482" i="19"/>
  <c r="B1488" i="19"/>
  <c r="B1499" i="19"/>
  <c r="B1500" i="19"/>
  <c r="B1501" i="19"/>
  <c r="B1487" i="19"/>
  <c r="B1495" i="19"/>
  <c r="K76" i="3"/>
  <c r="B1743" i="19" l="1"/>
  <c r="C1694" i="19"/>
  <c r="B1693" i="19"/>
  <c r="B1633" i="19"/>
  <c r="B1534" i="19"/>
  <c r="B1508" i="19"/>
  <c r="C1745" i="19" l="1"/>
  <c r="B1744" i="19"/>
  <c r="C1695" i="19"/>
  <c r="B1694" i="19"/>
  <c r="C1635" i="19"/>
  <c r="B1634" i="19"/>
  <c r="C1536" i="19"/>
  <c r="B1535" i="19"/>
  <c r="B1509" i="19"/>
  <c r="C1510" i="19"/>
  <c r="B1745" i="19" l="1"/>
  <c r="B1695" i="19"/>
  <c r="C1696" i="19"/>
  <c r="B1635" i="19"/>
  <c r="C1537" i="19"/>
  <c r="B1536" i="19"/>
  <c r="B1510" i="19"/>
  <c r="K587" i="19"/>
  <c r="B1440" i="19"/>
  <c r="B1439" i="19"/>
  <c r="B1433" i="19"/>
  <c r="B1434" i="19"/>
  <c r="B1435" i="19"/>
  <c r="B1436" i="19"/>
  <c r="B1437" i="19"/>
  <c r="B1438" i="19"/>
  <c r="B1441" i="19"/>
  <c r="B1442" i="19"/>
  <c r="B1443" i="19"/>
  <c r="B1444" i="19"/>
  <c r="B1445" i="19"/>
  <c r="B1446" i="19"/>
  <c r="B1447" i="19"/>
  <c r="B1448" i="19"/>
  <c r="B1449" i="19"/>
  <c r="B1450" i="19"/>
  <c r="B1451" i="19"/>
  <c r="B1452" i="19"/>
  <c r="B1453" i="19"/>
  <c r="B1454" i="19"/>
  <c r="B1455" i="19"/>
  <c r="B1746" i="19" l="1"/>
  <c r="C1747" i="19"/>
  <c r="B1696" i="19"/>
  <c r="B1636" i="19"/>
  <c r="C1637" i="19"/>
  <c r="B1537" i="19"/>
  <c r="B1511" i="19"/>
  <c r="C1512" i="19"/>
  <c r="J16" i="12"/>
  <c r="L16" i="12" s="1"/>
  <c r="M16" i="12" s="1"/>
  <c r="M14" i="24" l="1"/>
  <c r="B1747" i="19"/>
  <c r="C1748" i="19"/>
  <c r="B1697" i="19"/>
  <c r="B1637" i="19"/>
  <c r="B1538" i="19"/>
  <c r="B1512" i="19"/>
  <c r="G70" i="6"/>
  <c r="G69" i="6"/>
  <c r="B1748" i="19" l="1"/>
  <c r="C1699" i="19"/>
  <c r="B1698" i="19"/>
  <c r="B1638" i="19"/>
  <c r="B1539" i="19"/>
  <c r="B1513" i="19"/>
  <c r="H58" i="26"/>
  <c r="I58" i="26" s="1"/>
  <c r="H53" i="26"/>
  <c r="I53" i="26" s="1"/>
  <c r="L53" i="26" s="1"/>
  <c r="M53" i="26" s="1"/>
  <c r="I52" i="26"/>
  <c r="L52" i="26" s="1"/>
  <c r="M52" i="26" s="1"/>
  <c r="I51" i="26"/>
  <c r="L51" i="26" s="1"/>
  <c r="M51" i="26" s="1"/>
  <c r="I50" i="26"/>
  <c r="L50" i="26" s="1"/>
  <c r="M50" i="26" s="1"/>
  <c r="I49" i="26"/>
  <c r="L49" i="26" s="1"/>
  <c r="M49" i="26" s="1"/>
  <c r="I48" i="26"/>
  <c r="L48" i="26" s="1"/>
  <c r="M48" i="26" s="1"/>
  <c r="I47" i="26"/>
  <c r="L47" i="26" s="1"/>
  <c r="M47" i="26" s="1"/>
  <c r="I46" i="26"/>
  <c r="L46" i="26" s="1"/>
  <c r="M46" i="26" s="1"/>
  <c r="I45" i="26"/>
  <c r="L45" i="26" s="1"/>
  <c r="M45" i="26" s="1"/>
  <c r="H44" i="26"/>
  <c r="I44" i="26" s="1"/>
  <c r="H43" i="26"/>
  <c r="I43" i="26" s="1"/>
  <c r="L43" i="26" s="1"/>
  <c r="M43" i="26" s="1"/>
  <c r="H42" i="26"/>
  <c r="I42" i="26" s="1"/>
  <c r="L42" i="26" s="1"/>
  <c r="M42" i="26" s="1"/>
  <c r="I41" i="26"/>
  <c r="L41" i="26" s="1"/>
  <c r="M41" i="26" s="1"/>
  <c r="H40" i="26"/>
  <c r="I40" i="26" s="1"/>
  <c r="L40" i="26" s="1"/>
  <c r="M40" i="26" s="1"/>
  <c r="I39" i="26"/>
  <c r="L39" i="26" s="1"/>
  <c r="M39" i="26" s="1"/>
  <c r="I38" i="26"/>
  <c r="L38" i="26" s="1"/>
  <c r="M38" i="26" s="1"/>
  <c r="H37" i="26"/>
  <c r="I37" i="26" s="1"/>
  <c r="L37" i="26" s="1"/>
  <c r="M37" i="26" s="1"/>
  <c r="I36" i="26"/>
  <c r="L36" i="26" s="1"/>
  <c r="M36" i="26" s="1"/>
  <c r="H35" i="26"/>
  <c r="I35" i="26" s="1"/>
  <c r="L35" i="26" s="1"/>
  <c r="M35" i="26" s="1"/>
  <c r="H34" i="26"/>
  <c r="I34" i="26" s="1"/>
  <c r="L34" i="26" s="1"/>
  <c r="M34" i="26" s="1"/>
  <c r="G33" i="26"/>
  <c r="I33" i="26" s="1"/>
  <c r="I32" i="26"/>
  <c r="L32" i="26" s="1"/>
  <c r="K29" i="26"/>
  <c r="I27" i="26"/>
  <c r="L27" i="26" s="1"/>
  <c r="H27" i="26"/>
  <c r="G27" i="26"/>
  <c r="G26" i="26"/>
  <c r="G28" i="26" s="1"/>
  <c r="I28" i="26" s="1"/>
  <c r="H25" i="26"/>
  <c r="I25" i="26" s="1"/>
  <c r="I23" i="26"/>
  <c r="L23" i="26" s="1"/>
  <c r="I22" i="26"/>
  <c r="L22" i="26" s="1"/>
  <c r="G21" i="26"/>
  <c r="H21" i="26" s="1"/>
  <c r="K20" i="26"/>
  <c r="G20" i="26"/>
  <c r="I19" i="26"/>
  <c r="L19" i="26" s="1"/>
  <c r="I18" i="26"/>
  <c r="M18" i="26" s="1"/>
  <c r="H17" i="26"/>
  <c r="I17" i="26" s="1"/>
  <c r="L17" i="26" s="1"/>
  <c r="M16" i="26"/>
  <c r="I16" i="26"/>
  <c r="L16" i="26" s="1"/>
  <c r="H15" i="26"/>
  <c r="I15" i="26" s="1"/>
  <c r="I14" i="26"/>
  <c r="L14" i="26" s="1"/>
  <c r="H13" i="26"/>
  <c r="I13" i="26" s="1"/>
  <c r="I11" i="26"/>
  <c r="I10" i="26"/>
  <c r="M10" i="26" s="1"/>
  <c r="M9" i="26"/>
  <c r="I9" i="26"/>
  <c r="L9" i="26" s="1"/>
  <c r="I8" i="26"/>
  <c r="G29" i="26" l="1"/>
  <c r="H26" i="26"/>
  <c r="I26" i="26" s="1"/>
  <c r="M14" i="26"/>
  <c r="B1749" i="19"/>
  <c r="B1699" i="19"/>
  <c r="C1700" i="19"/>
  <c r="M27" i="26"/>
  <c r="B1639" i="19"/>
  <c r="B1540" i="19"/>
  <c r="C1541" i="19"/>
  <c r="B1514" i="19"/>
  <c r="H54" i="26"/>
  <c r="H20" i="26"/>
  <c r="I20" i="26" s="1"/>
  <c r="I21" i="26"/>
  <c r="M15" i="26"/>
  <c r="L15" i="26"/>
  <c r="M13" i="26"/>
  <c r="L13" i="26"/>
  <c r="M25" i="26"/>
  <c r="L25" i="26"/>
  <c r="M32" i="26"/>
  <c r="M28" i="26"/>
  <c r="L28" i="26"/>
  <c r="M26" i="26"/>
  <c r="L26" i="26"/>
  <c r="I54" i="26"/>
  <c r="L33" i="26"/>
  <c r="M33" i="26" s="1"/>
  <c r="K44" i="26"/>
  <c r="K54" i="26" s="1"/>
  <c r="K56" i="26" s="1"/>
  <c r="K60" i="26" s="1"/>
  <c r="L10" i="26"/>
  <c r="M17" i="26"/>
  <c r="L8" i="26"/>
  <c r="L18" i="26"/>
  <c r="M8" i="26"/>
  <c r="H12" i="26"/>
  <c r="G54" i="26"/>
  <c r="G56" i="26" s="1"/>
  <c r="H24" i="26"/>
  <c r="I24" i="26" s="1"/>
  <c r="B1432" i="19"/>
  <c r="B1431" i="19"/>
  <c r="B1430" i="19"/>
  <c r="B1429" i="19"/>
  <c r="B1428" i="19"/>
  <c r="B1427" i="19"/>
  <c r="B1426" i="19"/>
  <c r="B1425" i="19"/>
  <c r="B1424" i="19"/>
  <c r="B1423" i="19"/>
  <c r="B1422" i="19"/>
  <c r="B1421" i="19"/>
  <c r="B1420" i="19"/>
  <c r="B1419" i="19"/>
  <c r="B1418" i="19"/>
  <c r="B1417" i="19"/>
  <c r="B1416" i="19"/>
  <c r="B1415" i="19"/>
  <c r="B1414" i="19"/>
  <c r="B1413" i="19"/>
  <c r="B1412" i="19"/>
  <c r="B1411" i="19"/>
  <c r="B1410" i="19"/>
  <c r="B1409" i="19"/>
  <c r="B1408" i="19"/>
  <c r="B1407" i="19"/>
  <c r="B1406" i="19"/>
  <c r="B1405" i="19"/>
  <c r="B1404" i="19"/>
  <c r="B1403" i="19"/>
  <c r="B1402" i="19"/>
  <c r="B1401" i="19"/>
  <c r="B1400" i="19"/>
  <c r="B1399" i="19"/>
  <c r="B1398" i="19"/>
  <c r="B1397" i="19"/>
  <c r="B1396" i="19"/>
  <c r="B1395" i="19"/>
  <c r="B1394" i="19"/>
  <c r="B1393" i="19"/>
  <c r="B1392" i="19"/>
  <c r="B1391" i="19"/>
  <c r="B1390" i="19"/>
  <c r="B1389" i="19"/>
  <c r="B1388" i="19"/>
  <c r="B1387" i="19"/>
  <c r="B1386" i="19"/>
  <c r="B1385" i="19"/>
  <c r="B1384" i="19"/>
  <c r="B1383" i="19"/>
  <c r="B1382" i="19"/>
  <c r="B1381" i="19"/>
  <c r="B1380" i="19"/>
  <c r="B1379" i="19"/>
  <c r="B1378" i="19"/>
  <c r="B1377" i="19"/>
  <c r="B1376" i="19"/>
  <c r="B1375" i="19"/>
  <c r="B1374" i="19"/>
  <c r="B1373" i="19"/>
  <c r="B1372" i="19"/>
  <c r="B1371" i="19"/>
  <c r="B1370" i="19"/>
  <c r="B1369" i="19"/>
  <c r="B1368" i="19"/>
  <c r="B1367" i="19"/>
  <c r="B1366" i="19"/>
  <c r="B1365" i="19"/>
  <c r="B1364" i="19"/>
  <c r="B1363" i="19"/>
  <c r="B1362" i="19"/>
  <c r="B1361" i="19"/>
  <c r="B1360" i="19"/>
  <c r="B1359" i="19"/>
  <c r="B1358" i="19"/>
  <c r="B1357" i="19"/>
  <c r="B1356" i="19"/>
  <c r="B1355" i="19"/>
  <c r="B1354" i="19"/>
  <c r="B1353" i="19"/>
  <c r="B1352" i="19"/>
  <c r="B1351" i="19"/>
  <c r="B1350" i="19"/>
  <c r="B1750" i="19" l="1"/>
  <c r="C1751" i="19"/>
  <c r="B1700" i="19"/>
  <c r="B1640" i="19"/>
  <c r="B1541" i="19"/>
  <c r="B1515" i="19"/>
  <c r="M20" i="26"/>
  <c r="L20" i="26"/>
  <c r="I12" i="26"/>
  <c r="H29" i="26"/>
  <c r="H56" i="26" s="1"/>
  <c r="H60" i="26" s="1"/>
  <c r="L44" i="26"/>
  <c r="L54" i="26" s="1"/>
  <c r="M54" i="26" s="1"/>
  <c r="L24" i="26"/>
  <c r="M24" i="26"/>
  <c r="L21" i="26"/>
  <c r="M21" i="26"/>
  <c r="G60" i="26"/>
  <c r="B1751" i="19" l="1"/>
  <c r="B1701" i="19"/>
  <c r="B1641" i="19"/>
  <c r="C1642" i="19"/>
  <c r="B1542" i="19"/>
  <c r="C1543" i="19"/>
  <c r="B1516" i="19"/>
  <c r="I56" i="26"/>
  <c r="L12" i="26"/>
  <c r="L29" i="26" s="1"/>
  <c r="M29" i="26" s="1"/>
  <c r="M12" i="26"/>
  <c r="I29" i="26"/>
  <c r="B1752" i="19" l="1"/>
  <c r="B1702" i="19"/>
  <c r="B1642" i="19"/>
  <c r="B1543" i="19"/>
  <c r="B1517" i="19"/>
  <c r="C1518" i="19"/>
  <c r="I60" i="26"/>
  <c r="L56" i="26"/>
  <c r="M56" i="26" s="1"/>
  <c r="B1753" i="19" l="1"/>
  <c r="B1703" i="19"/>
  <c r="B1643" i="19"/>
  <c r="C1545" i="19"/>
  <c r="B1544" i="19"/>
  <c r="B1518" i="19"/>
  <c r="B1754" i="19" l="1"/>
  <c r="C1755" i="19"/>
  <c r="B1704" i="19"/>
  <c r="C1705" i="19"/>
  <c r="B1644" i="19"/>
  <c r="B1545" i="19"/>
  <c r="C1546" i="19"/>
  <c r="B1519" i="19"/>
  <c r="D107" i="15"/>
  <c r="D106" i="15"/>
  <c r="D112" i="15" l="1"/>
  <c r="B1755" i="19"/>
  <c r="B1705" i="19"/>
  <c r="B1645" i="19"/>
  <c r="C1646" i="19"/>
  <c r="B1546" i="19"/>
  <c r="B1520" i="19"/>
  <c r="B1349" i="19"/>
  <c r="B1348" i="19"/>
  <c r="B1347" i="19"/>
  <c r="B1346" i="19"/>
  <c r="B1345" i="19"/>
  <c r="B1344" i="19"/>
  <c r="B1343" i="19"/>
  <c r="B1342" i="19"/>
  <c r="B1341" i="19"/>
  <c r="B1340" i="19"/>
  <c r="B1339" i="19"/>
  <c r="B1338" i="19"/>
  <c r="B1337" i="19"/>
  <c r="B1336" i="19"/>
  <c r="B1335" i="19"/>
  <c r="B1334" i="19"/>
  <c r="B1333" i="19"/>
  <c r="B1332" i="19"/>
  <c r="B1331" i="19"/>
  <c r="B1330" i="19"/>
  <c r="B1329" i="19"/>
  <c r="B1328" i="19"/>
  <c r="B1327" i="19"/>
  <c r="B1326" i="19"/>
  <c r="B1325" i="19"/>
  <c r="B1324" i="19"/>
  <c r="B1323" i="19"/>
  <c r="B1322" i="19"/>
  <c r="B1321" i="19"/>
  <c r="B1320" i="19"/>
  <c r="B1319" i="19"/>
  <c r="B1318" i="19"/>
  <c r="B1317" i="19"/>
  <c r="B1316" i="19"/>
  <c r="B1315" i="19"/>
  <c r="B1314" i="19"/>
  <c r="B1313" i="19"/>
  <c r="B1312" i="19"/>
  <c r="B1311" i="19"/>
  <c r="B1310" i="19"/>
  <c r="B1309" i="19"/>
  <c r="B1308" i="19"/>
  <c r="B1307" i="19"/>
  <c r="B1306" i="19"/>
  <c r="B1305" i="19"/>
  <c r="B1304" i="19"/>
  <c r="B1303" i="19"/>
  <c r="B1302" i="19"/>
  <c r="B1301" i="19"/>
  <c r="B1300" i="19"/>
  <c r="B1299" i="19"/>
  <c r="B1298" i="19"/>
  <c r="B1297" i="19"/>
  <c r="B1296" i="19"/>
  <c r="B1295" i="19"/>
  <c r="B1294" i="19"/>
  <c r="B1293" i="19"/>
  <c r="B1292" i="19"/>
  <c r="B1291" i="19"/>
  <c r="B1290" i="19"/>
  <c r="B1289" i="19"/>
  <c r="B1288" i="19"/>
  <c r="B1287" i="19"/>
  <c r="B1286" i="19"/>
  <c r="B1285" i="19"/>
  <c r="B1284" i="19"/>
  <c r="B1283" i="19"/>
  <c r="B1282" i="19"/>
  <c r="B1281" i="19"/>
  <c r="B1280" i="19"/>
  <c r="B1279" i="19"/>
  <c r="B1278" i="19"/>
  <c r="B1277" i="19"/>
  <c r="B1276" i="19"/>
  <c r="B1275" i="19"/>
  <c r="B1274" i="19"/>
  <c r="B1273" i="19"/>
  <c r="B1272" i="19"/>
  <c r="B1271" i="19"/>
  <c r="B1270" i="19"/>
  <c r="B1269" i="19"/>
  <c r="B1268" i="19"/>
  <c r="B1267" i="19"/>
  <c r="B1266" i="19"/>
  <c r="B1265" i="19"/>
  <c r="B1264" i="19"/>
  <c r="B1263" i="19"/>
  <c r="B1262" i="19"/>
  <c r="B1261" i="19"/>
  <c r="C1757" i="19" l="1"/>
  <c r="B1756" i="19"/>
  <c r="C1707" i="19"/>
  <c r="B1706" i="19"/>
  <c r="B1646" i="19"/>
  <c r="B1547" i="19"/>
  <c r="C1548" i="19"/>
  <c r="C1522" i="19"/>
  <c r="B1521" i="19"/>
  <c r="K58" i="24"/>
  <c r="B1757" i="19" l="1"/>
  <c r="B1707" i="19"/>
  <c r="B1647" i="19"/>
  <c r="B1548" i="19"/>
  <c r="B1522" i="19"/>
  <c r="B1758" i="19" l="1"/>
  <c r="B1708" i="19"/>
  <c r="B1648" i="19"/>
  <c r="B1549" i="19"/>
  <c r="C1550" i="19"/>
  <c r="B1524" i="19"/>
  <c r="B1523" i="19"/>
  <c r="G84" i="3"/>
  <c r="M80" i="3"/>
  <c r="G80" i="3"/>
  <c r="F80" i="3"/>
  <c r="L76" i="3"/>
  <c r="K75" i="3"/>
  <c r="L75" i="3" s="1"/>
  <c r="K74" i="3"/>
  <c r="L74" i="3" s="1"/>
  <c r="H72" i="3"/>
  <c r="K72" i="3" s="1"/>
  <c r="H61" i="3"/>
  <c r="G61" i="3"/>
  <c r="I58" i="3"/>
  <c r="J58" i="3" s="1"/>
  <c r="J61" i="3" s="1"/>
  <c r="F58" i="3"/>
  <c r="F61" i="3" s="1"/>
  <c r="I44" i="3"/>
  <c r="K44" i="3" s="1"/>
  <c r="I42" i="3"/>
  <c r="K42" i="3" s="1"/>
  <c r="I41" i="3"/>
  <c r="K36" i="3"/>
  <c r="B1759" i="19" l="1"/>
  <c r="B1709" i="19"/>
  <c r="C1650" i="19"/>
  <c r="B1649" i="19"/>
  <c r="B1550" i="19"/>
  <c r="I61" i="3"/>
  <c r="K41" i="3"/>
  <c r="K61" i="3" s="1"/>
  <c r="L61" i="3" s="1"/>
  <c r="I84" i="3"/>
  <c r="B1260" i="19"/>
  <c r="B1259" i="19"/>
  <c r="B1258" i="19"/>
  <c r="B1257" i="19"/>
  <c r="B1256" i="19"/>
  <c r="B1255" i="19"/>
  <c r="B1254" i="19"/>
  <c r="B1253" i="19"/>
  <c r="B1252" i="19"/>
  <c r="B1251" i="19"/>
  <c r="B1250" i="19"/>
  <c r="B1249" i="19"/>
  <c r="B1248" i="19"/>
  <c r="B1247" i="19"/>
  <c r="B1246" i="19"/>
  <c r="B1245" i="19"/>
  <c r="B1760" i="19" l="1"/>
  <c r="B1650" i="19"/>
  <c r="C1552" i="19"/>
  <c r="B1551" i="19"/>
  <c r="B1761" i="19" l="1"/>
  <c r="B1711" i="19"/>
  <c r="B1651" i="19"/>
  <c r="B1552" i="19"/>
  <c r="G95" i="15"/>
  <c r="F95" i="15"/>
  <c r="B1244" i="19"/>
  <c r="B1243" i="19"/>
  <c r="B1242" i="19"/>
  <c r="B1241" i="19"/>
  <c r="B1240" i="19"/>
  <c r="B1239" i="19"/>
  <c r="B1238" i="19"/>
  <c r="B1237" i="19"/>
  <c r="B1236" i="19"/>
  <c r="B1235" i="19"/>
  <c r="B1234" i="19"/>
  <c r="B1233" i="19"/>
  <c r="B1232" i="19"/>
  <c r="B1231" i="19"/>
  <c r="B1230" i="19"/>
  <c r="B1229" i="19"/>
  <c r="B1228" i="19"/>
  <c r="B1227" i="19"/>
  <c r="B1226" i="19"/>
  <c r="B1225" i="19"/>
  <c r="B1224" i="19"/>
  <c r="B1223" i="19"/>
  <c r="B1222" i="19"/>
  <c r="B1221" i="19"/>
  <c r="B1220" i="19"/>
  <c r="B1219" i="19"/>
  <c r="B1218" i="19"/>
  <c r="B1217" i="19"/>
  <c r="B1216" i="19"/>
  <c r="B1215" i="19"/>
  <c r="B1214" i="19"/>
  <c r="B1213" i="19"/>
  <c r="B1212" i="19"/>
  <c r="B1211" i="19"/>
  <c r="B1210" i="19"/>
  <c r="B1209" i="19"/>
  <c r="B1208" i="19"/>
  <c r="B1207" i="19"/>
  <c r="B1206" i="19"/>
  <c r="B1205" i="19"/>
  <c r="B1204" i="19"/>
  <c r="B1203" i="19"/>
  <c r="B1202" i="19"/>
  <c r="B1201" i="19"/>
  <c r="B1200" i="19"/>
  <c r="B1199" i="19"/>
  <c r="B1198" i="19"/>
  <c r="B1197" i="19"/>
  <c r="B1196" i="19"/>
  <c r="B1195" i="19"/>
  <c r="B1194" i="19"/>
  <c r="B1193" i="19"/>
  <c r="B1192" i="19"/>
  <c r="B1191" i="19"/>
  <c r="B1190" i="19"/>
  <c r="B1189" i="19"/>
  <c r="B1188" i="19"/>
  <c r="B1187" i="19"/>
  <c r="B1186" i="19"/>
  <c r="B1185" i="19"/>
  <c r="B1184" i="19"/>
  <c r="B1183" i="19"/>
  <c r="B1182" i="19"/>
  <c r="B1181" i="19"/>
  <c r="B1180" i="19"/>
  <c r="B1762" i="19" l="1"/>
  <c r="B1652" i="19"/>
  <c r="B1553" i="19"/>
  <c r="J25" i="24"/>
  <c r="J9" i="24"/>
  <c r="O9" i="24" s="1"/>
  <c r="P9" i="24" s="1"/>
  <c r="B1763" i="19" l="1"/>
  <c r="B1653" i="19"/>
  <c r="B1554" i="19"/>
  <c r="C1555" i="19"/>
  <c r="A3" i="24"/>
  <c r="M58" i="24"/>
  <c r="O58" i="24" s="1"/>
  <c r="J42" i="24"/>
  <c r="C1765" i="19" l="1"/>
  <c r="C1766" i="19" s="1"/>
  <c r="C1767" i="19" s="1"/>
  <c r="C1768" i="19" s="1"/>
  <c r="C1771" i="19" s="1"/>
  <c r="C1772" i="19" s="1"/>
  <c r="C1774" i="19" s="1"/>
  <c r="C1777" i="19" s="1"/>
  <c r="C1778" i="19" s="1"/>
  <c r="C1781" i="19" s="1"/>
  <c r="C1784" i="19" s="1"/>
  <c r="C1785" i="19" s="1"/>
  <c r="C1791" i="19" s="1"/>
  <c r="C1792" i="19" s="1"/>
  <c r="C1794" i="19" s="1"/>
  <c r="C1795" i="19" s="1"/>
  <c r="C1797" i="19" s="1"/>
  <c r="C1798" i="19" s="1"/>
  <c r="C1799" i="19" s="1"/>
  <c r="C1802" i="19" s="1"/>
  <c r="B1764" i="19"/>
  <c r="B1654" i="19"/>
  <c r="C1655" i="19"/>
  <c r="J54" i="24"/>
  <c r="J65" i="24" s="1"/>
  <c r="K54" i="24"/>
  <c r="B1555" i="19"/>
  <c r="K29" i="24"/>
  <c r="J68" i="24"/>
  <c r="K62" i="24" l="1"/>
  <c r="K65" i="24"/>
  <c r="B1802" i="19"/>
  <c r="B1765" i="19"/>
  <c r="B1655" i="19"/>
  <c r="C1656" i="19"/>
  <c r="K55" i="24"/>
  <c r="B1556" i="19"/>
  <c r="J62" i="24"/>
  <c r="C1804" i="19" l="1"/>
  <c r="B1803" i="19"/>
  <c r="K59" i="24"/>
  <c r="B1766" i="19"/>
  <c r="B1656" i="19"/>
  <c r="B1557" i="19"/>
  <c r="C1558" i="19"/>
  <c r="F105" i="15"/>
  <c r="F106" i="15"/>
  <c r="E106" i="15"/>
  <c r="E105" i="15"/>
  <c r="E112" i="15" s="1"/>
  <c r="F99" i="15"/>
  <c r="D99" i="15"/>
  <c r="B1804" i="19" l="1"/>
  <c r="B1767" i="19"/>
  <c r="B1657" i="19"/>
  <c r="B1558" i="19"/>
  <c r="C1559" i="19"/>
  <c r="B1145" i="19"/>
  <c r="B1144" i="19"/>
  <c r="B1142" i="19"/>
  <c r="B1139" i="19"/>
  <c r="B1135" i="19"/>
  <c r="B1134" i="19"/>
  <c r="D1136" i="19"/>
  <c r="D1137" i="19" s="1"/>
  <c r="D1138" i="19" s="1"/>
  <c r="D1140" i="19" s="1"/>
  <c r="D1141" i="19" s="1"/>
  <c r="D1143" i="19" s="1"/>
  <c r="D1147" i="19" s="1"/>
  <c r="D1149" i="19" s="1"/>
  <c r="D1150" i="19" s="1"/>
  <c r="D1151" i="19" s="1"/>
  <c r="D1153" i="19" s="1"/>
  <c r="D1154" i="19" s="1"/>
  <c r="D1157" i="19" s="1"/>
  <c r="D1158" i="19" s="1"/>
  <c r="D1159" i="19" s="1"/>
  <c r="D1160" i="19" s="1"/>
  <c r="D1161" i="19" s="1"/>
  <c r="D1164" i="19" s="1"/>
  <c r="D1166" i="19" s="1"/>
  <c r="D1167" i="19" s="1"/>
  <c r="D1168" i="19" s="1"/>
  <c r="D1169" i="19" s="1"/>
  <c r="D1170" i="19" s="1"/>
  <c r="D1171" i="19" s="1"/>
  <c r="D1175" i="19" s="1"/>
  <c r="D1176" i="19" s="1"/>
  <c r="D1177" i="19" s="1"/>
  <c r="D1178" i="19" s="1"/>
  <c r="D1179" i="19" s="1"/>
  <c r="B1179" i="19" s="1"/>
  <c r="C1161" i="19"/>
  <c r="C1162" i="19" s="1"/>
  <c r="C1165" i="19" s="1"/>
  <c r="C1166" i="19" s="1"/>
  <c r="C1169" i="19" s="1"/>
  <c r="C1170" i="19" s="1"/>
  <c r="C1175" i="19" s="1"/>
  <c r="C1159" i="19"/>
  <c r="B1805" i="19" l="1"/>
  <c r="B1768" i="19"/>
  <c r="B1658" i="19"/>
  <c r="B1559" i="19"/>
  <c r="B1141" i="19"/>
  <c r="B1140" i="19"/>
  <c r="B1143" i="19"/>
  <c r="B1136" i="19"/>
  <c r="B1137" i="19"/>
  <c r="B1138" i="19"/>
  <c r="B1165" i="19"/>
  <c r="B1174" i="19"/>
  <c r="B1176" i="19"/>
  <c r="B1148" i="19"/>
  <c r="B1164" i="19"/>
  <c r="B1173" i="19"/>
  <c r="B1166" i="19"/>
  <c r="B1167" i="19"/>
  <c r="B1152" i="19"/>
  <c r="B1160" i="19"/>
  <c r="B1153" i="19"/>
  <c r="B1177" i="19"/>
  <c r="B1172" i="19"/>
  <c r="B1149" i="19"/>
  <c r="B1151" i="19"/>
  <c r="B1175" i="19"/>
  <c r="B1168" i="19"/>
  <c r="B1161" i="19"/>
  <c r="B1146" i="19"/>
  <c r="B1154" i="19"/>
  <c r="B1162" i="19"/>
  <c r="B1170" i="19"/>
  <c r="B1178" i="19"/>
  <c r="B1156" i="19"/>
  <c r="B1157" i="19"/>
  <c r="B1150" i="19"/>
  <c r="B1158" i="19"/>
  <c r="B1159" i="19"/>
  <c r="B1169" i="19"/>
  <c r="B1147" i="19"/>
  <c r="B1155" i="19"/>
  <c r="B1163" i="19"/>
  <c r="B1171" i="19"/>
  <c r="B1806" i="19" l="1"/>
  <c r="B1769" i="19"/>
  <c r="B1659" i="19"/>
  <c r="B1560" i="19"/>
  <c r="J34" i="12"/>
  <c r="L34" i="12" s="1"/>
  <c r="M34" i="12" s="1"/>
  <c r="G35" i="12"/>
  <c r="J26" i="12"/>
  <c r="L26" i="12" s="1"/>
  <c r="M26" i="12" s="1"/>
  <c r="B1807" i="19" l="1"/>
  <c r="B1770" i="19"/>
  <c r="M25" i="24"/>
  <c r="B1561" i="19"/>
  <c r="C1562" i="19"/>
  <c r="M42" i="24" l="1"/>
  <c r="O42" i="24" s="1"/>
  <c r="P42" i="24" s="1"/>
  <c r="O25" i="24"/>
  <c r="C1809" i="19"/>
  <c r="B1808" i="19"/>
  <c r="B1771" i="19"/>
  <c r="M26" i="24"/>
  <c r="B1562" i="19"/>
  <c r="M29" i="24" l="1"/>
  <c r="B1809" i="19"/>
  <c r="M54" i="24"/>
  <c r="O54" i="24" s="1"/>
  <c r="P54" i="24" s="1"/>
  <c r="B1563" i="19"/>
  <c r="C1564" i="19"/>
  <c r="M55" i="24" l="1"/>
  <c r="C1811" i="19"/>
  <c r="B1810" i="19"/>
  <c r="M62" i="24"/>
  <c r="M65" i="24"/>
  <c r="B1564" i="19"/>
  <c r="R32" i="18"/>
  <c r="R30" i="18"/>
  <c r="M59" i="24" l="1"/>
  <c r="B1811" i="19"/>
  <c r="C1812" i="19"/>
  <c r="B1772" i="19"/>
  <c r="B1565" i="19"/>
  <c r="J13" i="18"/>
  <c r="J24" i="18"/>
  <c r="M31" i="18"/>
  <c r="J31" i="18"/>
  <c r="R31" i="18" s="1"/>
  <c r="S33" i="18" s="1"/>
  <c r="R19" i="18"/>
  <c r="R48" i="18"/>
  <c r="R45" i="18"/>
  <c r="S45" i="18" s="1"/>
  <c r="R44" i="18"/>
  <c r="R43" i="18"/>
  <c r="S43" i="18" s="1"/>
  <c r="R42" i="18"/>
  <c r="R41" i="18"/>
  <c r="S41" i="18" s="1"/>
  <c r="R38" i="18"/>
  <c r="R50" i="18" l="1"/>
  <c r="C1813" i="19"/>
  <c r="B1812" i="19"/>
  <c r="B1773" i="19"/>
  <c r="B1566" i="19"/>
  <c r="J44" i="18"/>
  <c r="B1813" i="19" l="1"/>
  <c r="B1774" i="19"/>
  <c r="B1567" i="19"/>
  <c r="J42" i="18"/>
  <c r="J40" i="18"/>
  <c r="B1814" i="19" l="1"/>
  <c r="B1775" i="19"/>
  <c r="B1569" i="19"/>
  <c r="M32" i="18"/>
  <c r="C1816" i="19" l="1"/>
  <c r="B1815" i="19"/>
  <c r="B1776" i="19"/>
  <c r="J47" i="18"/>
  <c r="J45" i="18"/>
  <c r="B1816" i="19" l="1"/>
  <c r="C1817" i="19"/>
  <c r="B1777" i="19"/>
  <c r="J16" i="18"/>
  <c r="C1818" i="19" l="1"/>
  <c r="B1817" i="19"/>
  <c r="B1778" i="19"/>
  <c r="J48" i="18"/>
  <c r="J43" i="18"/>
  <c r="J19" i="18"/>
  <c r="B1818" i="19" l="1"/>
  <c r="B1779" i="19"/>
  <c r="K48" i="18"/>
  <c r="K43" i="18"/>
  <c r="K41" i="18"/>
  <c r="K38" i="18"/>
  <c r="K31" i="18"/>
  <c r="K13" i="18"/>
  <c r="B1819" i="19" l="1"/>
  <c r="B1780" i="19"/>
  <c r="M45" i="18"/>
  <c r="M44" i="18"/>
  <c r="M43" i="18"/>
  <c r="M42" i="18"/>
  <c r="M41" i="18"/>
  <c r="M38" i="18"/>
  <c r="M19" i="18"/>
  <c r="M13" i="18"/>
  <c r="B1820" i="19" l="1"/>
  <c r="C1821" i="19"/>
  <c r="B1781" i="19"/>
  <c r="J15" i="24"/>
  <c r="O15" i="24" s="1"/>
  <c r="P15" i="24" s="1"/>
  <c r="J35" i="12"/>
  <c r="L35" i="12" s="1"/>
  <c r="M35" i="12" s="1"/>
  <c r="C1822" i="19" l="1"/>
  <c r="B1821" i="19"/>
  <c r="B1782" i="19"/>
  <c r="H16" i="5"/>
  <c r="G99" i="15"/>
  <c r="C1823" i="19" l="1"/>
  <c r="B1822" i="19"/>
  <c r="B1783" i="19"/>
  <c r="G71" i="6"/>
  <c r="B1823" i="19" l="1"/>
  <c r="B1784" i="19"/>
  <c r="B1824" i="19" l="1"/>
  <c r="C1825" i="19"/>
  <c r="B1785" i="19"/>
  <c r="G63" i="15"/>
  <c r="F37" i="15"/>
  <c r="F44" i="15" s="1"/>
  <c r="D37" i="15"/>
  <c r="B1825" i="19" l="1"/>
  <c r="C1826" i="19"/>
  <c r="B1786" i="19"/>
  <c r="G572" i="19"/>
  <c r="G571" i="19"/>
  <c r="B1826" i="19" l="1"/>
  <c r="B1787" i="19"/>
  <c r="G637" i="19"/>
  <c r="J18" i="18"/>
  <c r="O18" i="18" s="1"/>
  <c r="M53" i="18"/>
  <c r="M22" i="18"/>
  <c r="M39" i="18" s="1"/>
  <c r="M21" i="18"/>
  <c r="M15" i="18"/>
  <c r="M63" i="18"/>
  <c r="J56" i="12"/>
  <c r="B1827" i="19" l="1"/>
  <c r="B1788" i="19"/>
  <c r="M23" i="18"/>
  <c r="M26" i="18" s="1"/>
  <c r="M49" i="18"/>
  <c r="J27" i="12"/>
  <c r="G65" i="6"/>
  <c r="I70" i="3" s="1"/>
  <c r="J70" i="3" s="1"/>
  <c r="J80" i="3" s="1"/>
  <c r="C8" i="6"/>
  <c r="J29" i="12" l="1"/>
  <c r="J58" i="12" s="1"/>
  <c r="L63" i="5" s="1"/>
  <c r="L27" i="12"/>
  <c r="M27" i="12" s="1"/>
  <c r="B1828" i="19"/>
  <c r="B1789" i="19"/>
  <c r="J8" i="3"/>
  <c r="J11" i="18"/>
  <c r="O11" i="18" s="1"/>
  <c r="H80" i="3"/>
  <c r="M60" i="18"/>
  <c r="M57" i="18"/>
  <c r="M50" i="18"/>
  <c r="M54" i="18" s="1"/>
  <c r="O17" i="18"/>
  <c r="J69" i="12" l="1"/>
  <c r="J72" i="12" s="1"/>
  <c r="B1829" i="19"/>
  <c r="C1830" i="19"/>
  <c r="B1790" i="19"/>
  <c r="B1830" i="19" l="1"/>
  <c r="B1791" i="19"/>
  <c r="O47" i="23"/>
  <c r="O45" i="23"/>
  <c r="O42" i="23"/>
  <c r="O36" i="23"/>
  <c r="O35" i="23"/>
  <c r="O32" i="23"/>
  <c r="O24" i="23"/>
  <c r="O18" i="23"/>
  <c r="O17" i="23"/>
  <c r="O16" i="23"/>
  <c r="O15" i="23"/>
  <c r="O14" i="23"/>
  <c r="O13" i="23"/>
  <c r="O10" i="23"/>
  <c r="O9" i="23"/>
  <c r="J34" i="23"/>
  <c r="O34" i="23" s="1"/>
  <c r="M41" i="23"/>
  <c r="J41" i="23"/>
  <c r="J43" i="23"/>
  <c r="M39" i="23"/>
  <c r="J39" i="23"/>
  <c r="J35" i="23"/>
  <c r="J33" i="23"/>
  <c r="O33" i="23" s="1"/>
  <c r="M30" i="23"/>
  <c r="O30" i="23" s="1"/>
  <c r="O39" i="23" l="1"/>
  <c r="O41" i="23"/>
  <c r="M31" i="23"/>
  <c r="B1831" i="19"/>
  <c r="B1792" i="19"/>
  <c r="J29" i="23"/>
  <c r="B1832" i="19" l="1"/>
  <c r="B1793" i="19"/>
  <c r="O29" i="23"/>
  <c r="J31" i="23"/>
  <c r="O31" i="23" s="1"/>
  <c r="J46" i="23"/>
  <c r="O46" i="23" s="1"/>
  <c r="J44" i="23"/>
  <c r="O44" i="23" s="1"/>
  <c r="M43" i="23"/>
  <c r="O43" i="23" s="1"/>
  <c r="B1833" i="19" l="1"/>
  <c r="B1794" i="19"/>
  <c r="M37" i="23"/>
  <c r="J37" i="23"/>
  <c r="C1835" i="19" l="1"/>
  <c r="B1834" i="19"/>
  <c r="B1795" i="19"/>
  <c r="O37" i="23"/>
  <c r="J51" i="23"/>
  <c r="O51" i="23" s="1"/>
  <c r="P24" i="23"/>
  <c r="P16" i="23"/>
  <c r="P14" i="23"/>
  <c r="J12" i="23"/>
  <c r="K52" i="23"/>
  <c r="K47" i="23"/>
  <c r="P47" i="23"/>
  <c r="P46" i="23"/>
  <c r="P44" i="23"/>
  <c r="P43" i="23"/>
  <c r="P42" i="23"/>
  <c r="K42" i="23"/>
  <c r="P41" i="23"/>
  <c r="J40" i="23"/>
  <c r="O40" i="23" s="1"/>
  <c r="P39" i="23"/>
  <c r="M52" i="23"/>
  <c r="J52" i="23"/>
  <c r="P36" i="23"/>
  <c r="P35" i="23"/>
  <c r="P34" i="23"/>
  <c r="P33" i="23"/>
  <c r="K30" i="23"/>
  <c r="K31" i="23" s="1"/>
  <c r="P29" i="23"/>
  <c r="O23" i="23"/>
  <c r="P23" i="23" s="1"/>
  <c r="M38" i="23"/>
  <c r="K21" i="23"/>
  <c r="K38" i="23" s="1"/>
  <c r="J38" i="23"/>
  <c r="O20" i="23"/>
  <c r="M19" i="23"/>
  <c r="O19" i="23" s="1"/>
  <c r="K19" i="23"/>
  <c r="P18" i="23"/>
  <c r="P17" i="23"/>
  <c r="P15" i="23"/>
  <c r="K14" i="23"/>
  <c r="K13" i="23"/>
  <c r="K12" i="23"/>
  <c r="P10" i="23"/>
  <c r="K10" i="23"/>
  <c r="K9" i="23"/>
  <c r="K8" i="23"/>
  <c r="G43" i="15"/>
  <c r="E34" i="15"/>
  <c r="B1835" i="19" l="1"/>
  <c r="C1836" i="19"/>
  <c r="B1796" i="19"/>
  <c r="O12" i="23"/>
  <c r="P12" i="23" s="1"/>
  <c r="O38" i="23"/>
  <c r="P38" i="23" s="1"/>
  <c r="O52" i="23"/>
  <c r="M48" i="23"/>
  <c r="O22" i="23"/>
  <c r="P31" i="23"/>
  <c r="P37" i="23"/>
  <c r="P40" i="23"/>
  <c r="J22" i="23"/>
  <c r="J25" i="23" s="1"/>
  <c r="K48" i="23"/>
  <c r="K22" i="23"/>
  <c r="K25" i="23" s="1"/>
  <c r="P13" i="23"/>
  <c r="P30" i="23"/>
  <c r="J48" i="23"/>
  <c r="M22" i="23"/>
  <c r="M25" i="23" s="1"/>
  <c r="O21" i="23"/>
  <c r="B1836" i="19" l="1"/>
  <c r="B1797" i="19"/>
  <c r="O48" i="23"/>
  <c r="P48" i="23" s="1"/>
  <c r="K49" i="23"/>
  <c r="K53" i="23" s="1"/>
  <c r="O25" i="23"/>
  <c r="P25" i="23" s="1"/>
  <c r="J49" i="23"/>
  <c r="M49" i="23"/>
  <c r="M53" i="23" s="1"/>
  <c r="P9" i="23"/>
  <c r="P22" i="23"/>
  <c r="B1837" i="19" l="1"/>
  <c r="B1798" i="19"/>
  <c r="O49" i="23"/>
  <c r="P49" i="23" s="1"/>
  <c r="J53" i="23"/>
  <c r="O53" i="23" s="1"/>
  <c r="B1838" i="19" l="1"/>
  <c r="B1799" i="19"/>
  <c r="J14" i="18"/>
  <c r="C1840" i="19" l="1"/>
  <c r="B1839" i="19"/>
  <c r="B1800" i="19"/>
  <c r="B1840" i="19" l="1"/>
  <c r="B1801" i="19"/>
  <c r="G42" i="15"/>
  <c r="G41" i="15"/>
  <c r="G40" i="15"/>
  <c r="G39" i="15"/>
  <c r="G38" i="15"/>
  <c r="G37" i="15"/>
  <c r="G36" i="15"/>
  <c r="G35" i="15"/>
  <c r="E44" i="15"/>
  <c r="C44" i="15"/>
  <c r="C1842" i="19" l="1"/>
  <c r="B1841" i="19"/>
  <c r="N526" i="19"/>
  <c r="N527" i="19" s="1"/>
  <c r="N528" i="19" s="1"/>
  <c r="N529" i="19" s="1"/>
  <c r="N530" i="19" s="1"/>
  <c r="N531" i="19" s="1"/>
  <c r="N532" i="19" s="1"/>
  <c r="N533" i="19" s="1"/>
  <c r="N534" i="19" s="1"/>
  <c r="N535" i="19" s="1"/>
  <c r="N536" i="19" s="1"/>
  <c r="N537" i="19" s="1"/>
  <c r="N538" i="19" s="1"/>
  <c r="N539" i="19" s="1"/>
  <c r="N540" i="19" s="1"/>
  <c r="N541" i="19" s="1"/>
  <c r="N542" i="19" s="1"/>
  <c r="N543" i="19" s="1"/>
  <c r="N544" i="19" s="1"/>
  <c r="N545" i="19" s="1"/>
  <c r="N546" i="19" s="1"/>
  <c r="N547" i="19" s="1"/>
  <c r="N548" i="19" s="1"/>
  <c r="N549" i="19" s="1"/>
  <c r="N550" i="19" s="1"/>
  <c r="N551" i="19" s="1"/>
  <c r="N552" i="19" s="1"/>
  <c r="N553" i="19" s="1"/>
  <c r="N554" i="19" s="1"/>
  <c r="N555" i="19" s="1"/>
  <c r="N556" i="19" s="1"/>
  <c r="N557" i="19" s="1"/>
  <c r="N558" i="19" s="1"/>
  <c r="N559" i="19" s="1"/>
  <c r="N560" i="19" s="1"/>
  <c r="N561" i="19" s="1"/>
  <c r="N562" i="19" s="1"/>
  <c r="N563" i="19" s="1"/>
  <c r="N564" i="19" s="1"/>
  <c r="N565" i="19" s="1"/>
  <c r="N566" i="19" s="1"/>
  <c r="N567" i="19" s="1"/>
  <c r="N568" i="19" s="1"/>
  <c r="N569" i="19" s="1"/>
  <c r="N570" i="19" s="1"/>
  <c r="N571" i="19" s="1"/>
  <c r="N572" i="19" s="1"/>
  <c r="N573" i="19" s="1"/>
  <c r="N574" i="19" s="1"/>
  <c r="N575" i="19" s="1"/>
  <c r="N576" i="19" s="1"/>
  <c r="N577" i="19" s="1"/>
  <c r="N578" i="19" s="1"/>
  <c r="N579" i="19" s="1"/>
  <c r="N580" i="19" s="1"/>
  <c r="N581" i="19" s="1"/>
  <c r="N582" i="19" s="1"/>
  <c r="N583" i="19" s="1"/>
  <c r="N584" i="19" s="1"/>
  <c r="N585" i="19" s="1"/>
  <c r="N586" i="19" s="1"/>
  <c r="N587" i="19" s="1"/>
  <c r="N588" i="19" s="1"/>
  <c r="B1842" i="19" l="1"/>
  <c r="N589" i="19"/>
  <c r="N590" i="19" s="1"/>
  <c r="N591" i="19" s="1"/>
  <c r="N592" i="19" s="1"/>
  <c r="N593" i="19" s="1"/>
  <c r="N594" i="19" s="1"/>
  <c r="N595" i="19" s="1"/>
  <c r="N596" i="19" s="1"/>
  <c r="B1844" i="19" l="1"/>
  <c r="B1843" i="19"/>
  <c r="D51" i="6"/>
  <c r="G634" i="19" l="1"/>
  <c r="G635" i="19" l="1"/>
  <c r="G639" i="19" s="1"/>
  <c r="G642" i="19" s="1"/>
  <c r="A3" i="18" l="1"/>
  <c r="O20" i="18"/>
  <c r="O19" i="18"/>
  <c r="G42" i="6" l="1"/>
  <c r="O10" i="18" l="1"/>
  <c r="O41" i="18" l="1"/>
  <c r="P41" i="18" s="1"/>
  <c r="O38" i="18"/>
  <c r="P38" i="18" s="1"/>
  <c r="O52" i="18"/>
  <c r="O48" i="18"/>
  <c r="P48" i="18" s="1"/>
  <c r="O47" i="18"/>
  <c r="P47" i="18" s="1"/>
  <c r="O46" i="18"/>
  <c r="O45" i="18"/>
  <c r="P45" i="18" s="1"/>
  <c r="O40" i="18"/>
  <c r="P40" i="18" s="1"/>
  <c r="O37" i="18"/>
  <c r="P37" i="18" s="1"/>
  <c r="O36" i="18"/>
  <c r="P36" i="18" s="1"/>
  <c r="O35" i="18"/>
  <c r="P35" i="18" s="1"/>
  <c r="O34" i="18"/>
  <c r="P34" i="18" s="1"/>
  <c r="O33" i="18"/>
  <c r="O31" i="18"/>
  <c r="P31" i="18" s="1"/>
  <c r="O30" i="18"/>
  <c r="P30" i="18" s="1"/>
  <c r="O25" i="18"/>
  <c r="P25" i="18" s="1"/>
  <c r="O13" i="18"/>
  <c r="P13" i="18" s="1"/>
  <c r="P10" i="18"/>
  <c r="O16" i="18"/>
  <c r="P16" i="18" s="1"/>
  <c r="O14" i="18"/>
  <c r="P14" i="18" s="1"/>
  <c r="O24" i="18" l="1"/>
  <c r="P24" i="18" s="1"/>
  <c r="O44" i="18"/>
  <c r="P44" i="18" s="1"/>
  <c r="O43" i="18"/>
  <c r="P43" i="18" s="1"/>
  <c r="O42" i="18"/>
  <c r="P42" i="18" s="1"/>
  <c r="G67" i="6" l="1"/>
  <c r="G40" i="6" l="1"/>
  <c r="H31" i="3" l="1"/>
  <c r="G31" i="3" s="1"/>
  <c r="H32" i="3"/>
  <c r="I32" i="3" s="1"/>
  <c r="G32" i="3" s="1"/>
  <c r="A4" i="18"/>
  <c r="J14" i="24" l="1"/>
  <c r="J32" i="3"/>
  <c r="J14" i="30"/>
  <c r="G51" i="22"/>
  <c r="G47" i="22"/>
  <c r="G46" i="22"/>
  <c r="G13" i="22"/>
  <c r="G28" i="22" s="1"/>
  <c r="G20" i="22"/>
  <c r="K14" i="30" l="1"/>
  <c r="J25" i="30"/>
  <c r="J28" i="30" s="1"/>
  <c r="J54" i="30" s="1"/>
  <c r="J58" i="30" s="1"/>
  <c r="O14" i="24"/>
  <c r="P14" i="24" s="1"/>
  <c r="J26" i="24"/>
  <c r="G34" i="22"/>
  <c r="O26" i="24" l="1"/>
  <c r="P26" i="24" s="1"/>
  <c r="J29" i="24"/>
  <c r="M14" i="30"/>
  <c r="M25" i="30" s="1"/>
  <c r="M28" i="30" s="1"/>
  <c r="M54" i="30" s="1"/>
  <c r="M58" i="30" s="1"/>
  <c r="K25" i="30"/>
  <c r="K28" i="30" s="1"/>
  <c r="K54" i="30" s="1"/>
  <c r="K58" i="30" s="1"/>
  <c r="G53" i="22"/>
  <c r="G55" i="22" s="1"/>
  <c r="O29" i="24" l="1"/>
  <c r="P29" i="24" s="1"/>
  <c r="J55" i="24"/>
  <c r="L31" i="5"/>
  <c r="O55" i="24" l="1"/>
  <c r="P55" i="24" s="1"/>
  <c r="J59" i="24"/>
  <c r="O59" i="24" s="1"/>
  <c r="G44" i="15"/>
  <c r="H43" i="15" l="1"/>
  <c r="H41" i="15"/>
  <c r="H38" i="15"/>
  <c r="H34" i="15"/>
  <c r="H42" i="15"/>
  <c r="H40" i="15"/>
  <c r="H37" i="15"/>
  <c r="H35" i="15"/>
  <c r="O32" i="18" l="1"/>
  <c r="P32" i="18" s="1"/>
  <c r="D14" i="6" l="1"/>
  <c r="D44" i="15" l="1"/>
  <c r="J22" i="18" l="1"/>
  <c r="K22" i="18"/>
  <c r="K39" i="18" s="1"/>
  <c r="K21" i="18"/>
  <c r="K63" i="18"/>
  <c r="K15" i="18"/>
  <c r="K8" i="18"/>
  <c r="K49" i="18" l="1"/>
  <c r="K53" i="18"/>
  <c r="J39" i="18"/>
  <c r="J49" i="18" s="1"/>
  <c r="K23" i="18"/>
  <c r="K57" i="18" l="1"/>
  <c r="K60" i="18"/>
  <c r="D44" i="6" l="1"/>
  <c r="D73" i="6" s="1"/>
  <c r="G13" i="6"/>
  <c r="H12" i="3" l="1"/>
  <c r="A3" i="21"/>
  <c r="J12" i="3" l="1"/>
  <c r="G12" i="3"/>
  <c r="H44" i="15"/>
  <c r="G69" i="21" l="1"/>
  <c r="F69" i="21"/>
  <c r="C69" i="21"/>
  <c r="G68" i="21"/>
  <c r="F68" i="21"/>
  <c r="C68" i="21"/>
  <c r="G67" i="21"/>
  <c r="F67" i="21"/>
  <c r="C67" i="21"/>
  <c r="B67" i="21"/>
  <c r="G66" i="21"/>
  <c r="F66" i="21"/>
  <c r="B66" i="21"/>
  <c r="G64" i="21"/>
  <c r="F64" i="21"/>
  <c r="C64" i="21"/>
  <c r="H63" i="21"/>
  <c r="H62" i="21"/>
  <c r="H61" i="21"/>
  <c r="H60" i="21"/>
  <c r="E60" i="21"/>
  <c r="E64" i="21" s="1"/>
  <c r="H59" i="21"/>
  <c r="H58" i="21"/>
  <c r="B58" i="21"/>
  <c r="H57" i="21"/>
  <c r="B57" i="21"/>
  <c r="H56" i="21"/>
  <c r="H55" i="21"/>
  <c r="D55" i="21"/>
  <c r="H54" i="21"/>
  <c r="H53" i="21"/>
  <c r="H52" i="21"/>
  <c r="H51" i="21"/>
  <c r="D51" i="21"/>
  <c r="G50" i="21"/>
  <c r="F50" i="21"/>
  <c r="C50" i="21"/>
  <c r="H49" i="21"/>
  <c r="H48" i="21"/>
  <c r="H47" i="21"/>
  <c r="H46" i="21"/>
  <c r="E46" i="21"/>
  <c r="H45" i="21"/>
  <c r="H44" i="21"/>
  <c r="H43" i="21"/>
  <c r="H42" i="21"/>
  <c r="H41" i="21"/>
  <c r="H40" i="21"/>
  <c r="H39" i="21"/>
  <c r="H38" i="21"/>
  <c r="H37" i="21"/>
  <c r="E37" i="21"/>
  <c r="D37" i="21"/>
  <c r="D68" i="21" s="1"/>
  <c r="B37" i="21"/>
  <c r="B50" i="21" s="1"/>
  <c r="G36" i="21"/>
  <c r="F36" i="21"/>
  <c r="C36" i="21"/>
  <c r="B36" i="21"/>
  <c r="H35" i="21"/>
  <c r="H34" i="21"/>
  <c r="H33" i="21"/>
  <c r="H32" i="21"/>
  <c r="H31" i="21"/>
  <c r="H30" i="21"/>
  <c r="H29" i="21"/>
  <c r="D29" i="21"/>
  <c r="D67" i="21" s="1"/>
  <c r="H28" i="21"/>
  <c r="E28" i="21"/>
  <c r="H27" i="21"/>
  <c r="E27" i="21"/>
  <c r="H26" i="21"/>
  <c r="H25" i="21"/>
  <c r="H24" i="21"/>
  <c r="H23" i="21"/>
  <c r="G22" i="21"/>
  <c r="F22" i="21"/>
  <c r="B22" i="21"/>
  <c r="H21" i="21"/>
  <c r="C21" i="21"/>
  <c r="H20" i="21"/>
  <c r="C20" i="21"/>
  <c r="H19" i="21"/>
  <c r="C19" i="21"/>
  <c r="H18" i="21"/>
  <c r="C18" i="21"/>
  <c r="H17" i="21"/>
  <c r="C17" i="21"/>
  <c r="H16" i="21"/>
  <c r="C16" i="21"/>
  <c r="H15" i="21"/>
  <c r="C15" i="21"/>
  <c r="H14" i="21"/>
  <c r="E14" i="21"/>
  <c r="C14" i="21"/>
  <c r="H13" i="21"/>
  <c r="C13" i="21"/>
  <c r="H12" i="21"/>
  <c r="C12" i="21"/>
  <c r="H11" i="21"/>
  <c r="C11" i="21"/>
  <c r="H10" i="21"/>
  <c r="C10" i="21"/>
  <c r="H9" i="21"/>
  <c r="E9" i="21"/>
  <c r="D9" i="21"/>
  <c r="D22" i="21" s="1"/>
  <c r="C9" i="21"/>
  <c r="F65" i="21" l="1"/>
  <c r="D69" i="21"/>
  <c r="G65" i="21"/>
  <c r="B65" i="21"/>
  <c r="H66" i="21"/>
  <c r="H36" i="21"/>
  <c r="B69" i="21"/>
  <c r="E66" i="21"/>
  <c r="C66" i="21"/>
  <c r="H50" i="21"/>
  <c r="H67" i="21"/>
  <c r="H68" i="21"/>
  <c r="B68" i="21"/>
  <c r="E22" i="21"/>
  <c r="D66" i="21"/>
  <c r="H22" i="21"/>
  <c r="E36" i="21"/>
  <c r="E50" i="21"/>
  <c r="D50" i="21"/>
  <c r="H64" i="21"/>
  <c r="H69" i="21"/>
  <c r="B64" i="21"/>
  <c r="E67" i="21"/>
  <c r="C22" i="21"/>
  <c r="C65" i="21" s="1"/>
  <c r="D64" i="21"/>
  <c r="E69" i="21"/>
  <c r="D36" i="21"/>
  <c r="D65" i="21" s="1"/>
  <c r="E68" i="21"/>
  <c r="E65" i="21" l="1"/>
  <c r="H65" i="21"/>
  <c r="G47" i="6"/>
  <c r="E79" i="15" l="1"/>
  <c r="D32" i="6" l="1"/>
  <c r="J21" i="18" l="1"/>
  <c r="O21" i="18" s="1"/>
  <c r="G8" i="12" l="1"/>
  <c r="J8" i="12" s="1"/>
  <c r="M8" i="24" l="1"/>
  <c r="J8" i="24"/>
  <c r="E80" i="15"/>
  <c r="B323" i="19" l="1"/>
  <c r="K26" i="18" l="1"/>
  <c r="K50" i="18" s="1"/>
  <c r="K54" i="18" s="1"/>
  <c r="O22" i="18"/>
  <c r="J63" i="18" l="1"/>
  <c r="J8" i="18"/>
  <c r="J53" i="18"/>
  <c r="O53" i="18" s="1"/>
  <c r="O9" i="18" l="1"/>
  <c r="P9" i="18" s="1"/>
  <c r="O39" i="18"/>
  <c r="P39" i="18" s="1"/>
  <c r="J57" i="18" l="1"/>
  <c r="O49" i="18"/>
  <c r="P49" i="18" s="1"/>
  <c r="J60" i="18"/>
  <c r="M8" i="18"/>
  <c r="G56" i="12" l="1"/>
  <c r="J15" i="18"/>
  <c r="O15" i="18" s="1"/>
  <c r="P15" i="18" s="1"/>
  <c r="O23" i="18" l="1"/>
  <c r="P23" i="18" s="1"/>
  <c r="J23" i="18"/>
  <c r="J26" i="18" s="1"/>
  <c r="O26" i="18" l="1"/>
  <c r="P26" i="18" s="1"/>
  <c r="J50" i="18"/>
  <c r="O50" i="18" s="1"/>
  <c r="P50" i="18" s="1"/>
  <c r="J54" i="18" l="1"/>
  <c r="O54" i="18" s="1"/>
  <c r="G14" i="20"/>
  <c r="G46" i="20"/>
  <c r="G49" i="20"/>
  <c r="G48" i="20"/>
  <c r="G43" i="20"/>
  <c r="G41" i="20"/>
  <c r="G40" i="20"/>
  <c r="G28" i="20"/>
  <c r="G29" i="20" s="1"/>
  <c r="G24" i="20"/>
  <c r="G19" i="20"/>
  <c r="G31" i="20"/>
  <c r="G30" i="20"/>
  <c r="F108" i="15"/>
  <c r="G23" i="20" l="1"/>
  <c r="G25" i="20" s="1"/>
  <c r="G51" i="20"/>
  <c r="G53" i="20" l="1"/>
  <c r="A132" i="19" l="1"/>
  <c r="A137" i="19" s="1"/>
  <c r="A142" i="19" s="1"/>
  <c r="A147" i="19" s="1"/>
  <c r="A152" i="19" s="1"/>
  <c r="A157" i="19" s="1"/>
  <c r="A162" i="19" s="1"/>
  <c r="A167" i="19" s="1"/>
  <c r="A172" i="19" s="1"/>
  <c r="A177" i="19" s="1"/>
  <c r="A182" i="19" s="1"/>
  <c r="A187" i="19" s="1"/>
  <c r="A192" i="19" s="1"/>
  <c r="A197" i="19" s="1"/>
  <c r="A202" i="19" s="1"/>
  <c r="A207" i="19" s="1"/>
  <c r="A212" i="19" s="1"/>
  <c r="A217" i="19" s="1"/>
  <c r="A222" i="19" s="1"/>
  <c r="A227" i="19" s="1"/>
  <c r="A232" i="19" s="1"/>
  <c r="A237" i="19" s="1"/>
  <c r="A242" i="19" s="1"/>
  <c r="A247" i="19" s="1"/>
  <c r="A252" i="19" s="1"/>
  <c r="A257" i="19" s="1"/>
  <c r="A262" i="19" s="1"/>
  <c r="A131" i="19"/>
  <c r="A136" i="19" s="1"/>
  <c r="A141" i="19" s="1"/>
  <c r="A146" i="19" s="1"/>
  <c r="A151" i="19" s="1"/>
  <c r="A156" i="19" s="1"/>
  <c r="A161" i="19" s="1"/>
  <c r="A166" i="19" s="1"/>
  <c r="A171" i="19" s="1"/>
  <c r="A176" i="19" s="1"/>
  <c r="A181" i="19" s="1"/>
  <c r="A186" i="19" s="1"/>
  <c r="A191" i="19" s="1"/>
  <c r="A196" i="19" s="1"/>
  <c r="A201" i="19" s="1"/>
  <c r="A206" i="19" s="1"/>
  <c r="A211" i="19" s="1"/>
  <c r="A216" i="19" s="1"/>
  <c r="A221" i="19" s="1"/>
  <c r="A226" i="19" s="1"/>
  <c r="A231" i="19" s="1"/>
  <c r="A236" i="19" s="1"/>
  <c r="A241" i="19" s="1"/>
  <c r="A246" i="19" s="1"/>
  <c r="A251" i="19" s="1"/>
  <c r="A256" i="19" s="1"/>
  <c r="A261" i="19" s="1"/>
  <c r="A130" i="19"/>
  <c r="A135" i="19" s="1"/>
  <c r="A140" i="19" s="1"/>
  <c r="A145" i="19" s="1"/>
  <c r="A150" i="19" s="1"/>
  <c r="A155" i="19" s="1"/>
  <c r="A160" i="19" s="1"/>
  <c r="A165" i="19" s="1"/>
  <c r="A170" i="19" s="1"/>
  <c r="A175" i="19" s="1"/>
  <c r="A180" i="19" s="1"/>
  <c r="A185" i="19" s="1"/>
  <c r="A190" i="19" s="1"/>
  <c r="A195" i="19" s="1"/>
  <c r="A200" i="19" s="1"/>
  <c r="A205" i="19" s="1"/>
  <c r="A210" i="19" s="1"/>
  <c r="A215" i="19" s="1"/>
  <c r="A220" i="19" s="1"/>
  <c r="A225" i="19" s="1"/>
  <c r="A230" i="19" s="1"/>
  <c r="A235" i="19" s="1"/>
  <c r="A240" i="19" s="1"/>
  <c r="A245" i="19" s="1"/>
  <c r="A250" i="19" s="1"/>
  <c r="A255" i="19" s="1"/>
  <c r="A260" i="19" s="1"/>
  <c r="A128" i="19"/>
  <c r="A133" i="19" s="1"/>
  <c r="A138" i="19" s="1"/>
  <c r="A143" i="19" s="1"/>
  <c r="A148" i="19" s="1"/>
  <c r="A153" i="19" s="1"/>
  <c r="A158" i="19" s="1"/>
  <c r="A163" i="19" s="1"/>
  <c r="A168" i="19" s="1"/>
  <c r="A173" i="19" s="1"/>
  <c r="A178" i="19" s="1"/>
  <c r="A183" i="19" s="1"/>
  <c r="A188" i="19" s="1"/>
  <c r="A193" i="19" s="1"/>
  <c r="A198" i="19" s="1"/>
  <c r="A203" i="19" s="1"/>
  <c r="A208" i="19" s="1"/>
  <c r="A213" i="19" s="1"/>
  <c r="A218" i="19" s="1"/>
  <c r="A223" i="19" s="1"/>
  <c r="A228" i="19" s="1"/>
  <c r="A233" i="19" s="1"/>
  <c r="A238" i="19" s="1"/>
  <c r="A243" i="19" s="1"/>
  <c r="A248" i="19" s="1"/>
  <c r="A253" i="19" s="1"/>
  <c r="A258" i="19" s="1"/>
  <c r="A263" i="19" s="1"/>
  <c r="B105" i="19"/>
  <c r="B101" i="19"/>
  <c r="B97" i="19"/>
  <c r="B94" i="19"/>
  <c r="B89" i="19"/>
  <c r="B86" i="19"/>
  <c r="B76" i="19"/>
  <c r="B74" i="19"/>
  <c r="B71" i="19"/>
  <c r="B69" i="19"/>
  <c r="B67" i="19"/>
  <c r="B65" i="19"/>
  <c r="B52" i="19"/>
  <c r="B50" i="19"/>
  <c r="B46" i="19"/>
  <c r="B47" i="19" s="1"/>
  <c r="B42" i="19"/>
  <c r="B39" i="19"/>
  <c r="B40" i="19" s="1"/>
  <c r="B35" i="19"/>
  <c r="B36" i="19" s="1"/>
  <c r="B32" i="19"/>
  <c r="B27" i="19"/>
  <c r="B22" i="19"/>
  <c r="B19" i="19"/>
  <c r="B16" i="19"/>
  <c r="B15" i="19"/>
  <c r="B12" i="19"/>
  <c r="B9" i="19"/>
  <c r="B7" i="19"/>
  <c r="A129" i="19" l="1"/>
  <c r="A134" i="19" s="1"/>
  <c r="A139" i="19" s="1"/>
  <c r="A144" i="19" s="1"/>
  <c r="A149" i="19" s="1"/>
  <c r="A154" i="19" s="1"/>
  <c r="A159" i="19" s="1"/>
  <c r="A164" i="19" s="1"/>
  <c r="A169" i="19" s="1"/>
  <c r="A174" i="19" s="1"/>
  <c r="A179" i="19" s="1"/>
  <c r="A184" i="19" s="1"/>
  <c r="A189" i="19" s="1"/>
  <c r="A194" i="19" s="1"/>
  <c r="A199" i="19" s="1"/>
  <c r="A204" i="19" s="1"/>
  <c r="A209" i="19" s="1"/>
  <c r="A214" i="19" s="1"/>
  <c r="A219" i="19" s="1"/>
  <c r="A224" i="19" s="1"/>
  <c r="A229" i="19" s="1"/>
  <c r="A234" i="19" s="1"/>
  <c r="A239" i="19" s="1"/>
  <c r="A244" i="19" s="1"/>
  <c r="A249" i="19" s="1"/>
  <c r="A254" i="19" s="1"/>
  <c r="A259" i="19" s="1"/>
  <c r="A264" i="19" s="1"/>
  <c r="G49" i="6" l="1"/>
  <c r="F107" i="15" l="1"/>
  <c r="F112" i="15" s="1"/>
  <c r="G58" i="6" l="1"/>
  <c r="I67" i="3" s="1"/>
  <c r="G51" i="6"/>
  <c r="C44" i="6"/>
  <c r="C73" i="6" s="1"/>
  <c r="G17" i="6"/>
  <c r="K67" i="3" l="1"/>
  <c r="I80" i="3"/>
  <c r="G18" i="6"/>
  <c r="G108" i="15"/>
  <c r="G107" i="15"/>
  <c r="L67" i="3" l="1"/>
  <c r="L80" i="3" s="1"/>
  <c r="L82" i="3" s="1"/>
  <c r="H62" i="5" s="1"/>
  <c r="K80" i="3"/>
  <c r="G104" i="15"/>
  <c r="G103" i="15" l="1"/>
  <c r="G105" i="15" l="1"/>
  <c r="G62" i="6" l="1"/>
  <c r="U8" i="17" l="1"/>
  <c r="W38" i="17"/>
  <c r="V38" i="17"/>
  <c r="U38" i="17"/>
  <c r="T38" i="17"/>
  <c r="S38" i="17"/>
  <c r="R38" i="17"/>
  <c r="Q38" i="17"/>
  <c r="P38" i="17"/>
  <c r="O38" i="17"/>
  <c r="N38" i="17"/>
  <c r="M38" i="17"/>
  <c r="L38" i="17"/>
  <c r="W32" i="17"/>
  <c r="V32" i="17"/>
  <c r="U32" i="17"/>
  <c r="T32" i="17"/>
  <c r="S32" i="17"/>
  <c r="R32" i="17"/>
  <c r="Q32" i="17"/>
  <c r="P32" i="17"/>
  <c r="O32" i="17"/>
  <c r="N32" i="17"/>
  <c r="M32" i="17"/>
  <c r="L32" i="17"/>
  <c r="P13" i="17"/>
  <c r="P19" i="17" s="1"/>
  <c r="L13" i="17"/>
  <c r="L19" i="17" s="1"/>
  <c r="W13" i="17"/>
  <c r="W19" i="17" s="1"/>
  <c r="S13" i="17"/>
  <c r="S19" i="17" s="1"/>
  <c r="O13" i="17"/>
  <c r="O19" i="17" s="1"/>
  <c r="K12" i="17"/>
  <c r="K13" i="17" s="1"/>
  <c r="K19" i="17" s="1"/>
  <c r="K38" i="17"/>
  <c r="K32" i="17"/>
  <c r="J12" i="17"/>
  <c r="J13" i="17" s="1"/>
  <c r="J19" i="17" s="1"/>
  <c r="J38" i="17"/>
  <c r="J32" i="17"/>
  <c r="I29" i="17"/>
  <c r="I32" i="17" s="1"/>
  <c r="I38" i="17"/>
  <c r="I13" i="17"/>
  <c r="I19" i="17" s="1"/>
  <c r="H38" i="17"/>
  <c r="H32" i="17"/>
  <c r="H13" i="17"/>
  <c r="H19" i="17" s="1"/>
  <c r="G38" i="17"/>
  <c r="G32" i="17"/>
  <c r="G13" i="17"/>
  <c r="G19" i="17" s="1"/>
  <c r="G40" i="17" l="1"/>
  <c r="R40" i="17"/>
  <c r="N40" i="17"/>
  <c r="W40" i="17"/>
  <c r="T40" i="17"/>
  <c r="T13" i="17"/>
  <c r="T19" i="17" s="1"/>
  <c r="L40" i="17"/>
  <c r="O40" i="17"/>
  <c r="S40" i="17"/>
  <c r="P40" i="17"/>
  <c r="M13" i="17"/>
  <c r="M19" i="17" s="1"/>
  <c r="Q13" i="17"/>
  <c r="Q19" i="17" s="1"/>
  <c r="U13" i="17"/>
  <c r="U19" i="17" s="1"/>
  <c r="M40" i="17"/>
  <c r="Q40" i="17"/>
  <c r="U40" i="17"/>
  <c r="N13" i="17"/>
  <c r="N19" i="17" s="1"/>
  <c r="R13" i="17"/>
  <c r="R19" i="17" s="1"/>
  <c r="V13" i="17"/>
  <c r="V19" i="17" s="1"/>
  <c r="V40" i="17"/>
  <c r="K40" i="17"/>
  <c r="J40" i="17"/>
  <c r="I40" i="17"/>
  <c r="H40" i="17"/>
  <c r="L56" i="5" l="1"/>
  <c r="L49" i="5"/>
  <c r="L16" i="5"/>
  <c r="L58" i="5" l="1"/>
  <c r="G43" i="6"/>
  <c r="J84" i="3" s="1"/>
  <c r="H84" i="3" l="1"/>
  <c r="K84" i="3" s="1"/>
  <c r="E14" i="15"/>
  <c r="L23" i="5" l="1"/>
  <c r="L25" i="5" s="1"/>
  <c r="L35" i="5" s="1"/>
  <c r="H56" i="5"/>
  <c r="L69" i="5" l="1"/>
  <c r="D228" i="6" l="1"/>
  <c r="D229" i="6"/>
  <c r="D230" i="6"/>
  <c r="F228" i="6" l="1"/>
  <c r="G60" i="6" l="1"/>
  <c r="E16" i="15" s="1"/>
  <c r="G50" i="6"/>
  <c r="H35" i="3" l="1"/>
  <c r="J35" i="3" s="1"/>
  <c r="N232" i="6"/>
  <c r="M232" i="6"/>
  <c r="L232" i="6"/>
  <c r="K232" i="6"/>
  <c r="J232" i="6"/>
  <c r="I232" i="6"/>
  <c r="H232" i="6"/>
  <c r="G232" i="6"/>
  <c r="G35" i="3" l="1"/>
  <c r="G26" i="3"/>
  <c r="C56" i="6"/>
  <c r="F27" i="6"/>
  <c r="C32" i="6"/>
  <c r="C231" i="6" l="1"/>
  <c r="G54" i="6" l="1"/>
  <c r="G55" i="6"/>
  <c r="G56" i="6" l="1"/>
  <c r="G20" i="6" l="1"/>
  <c r="C14" i="6"/>
  <c r="G12" i="6"/>
  <c r="L29" i="12" l="1"/>
  <c r="M29" i="12" s="1"/>
  <c r="L56" i="12" l="1"/>
  <c r="M56" i="12" s="1"/>
  <c r="G58" i="12" l="1"/>
  <c r="G69" i="12" l="1"/>
  <c r="L64" i="5"/>
  <c r="L58" i="12"/>
  <c r="M58" i="12" s="1"/>
  <c r="L66" i="5" l="1"/>
  <c r="C229" i="6" l="1"/>
  <c r="G39" i="6"/>
  <c r="E15" i="15" s="1"/>
  <c r="G32" i="6"/>
  <c r="E12" i="15" s="1"/>
  <c r="G11" i="6"/>
  <c r="G44" i="6" l="1"/>
  <c r="G73" i="6" s="1"/>
  <c r="D232" i="6"/>
  <c r="G14" i="6"/>
  <c r="G27" i="6"/>
  <c r="E13" i="15" l="1"/>
  <c r="F232" i="6"/>
  <c r="H64" i="5" l="1"/>
  <c r="G72" i="12"/>
  <c r="L67" i="12"/>
  <c r="M67" i="12" s="1"/>
  <c r="G106" i="15"/>
  <c r="G112" i="15" s="1"/>
  <c r="L69" i="12" l="1"/>
  <c r="G7" i="6"/>
  <c r="H10" i="3" s="1"/>
  <c r="I10" i="3" s="1"/>
  <c r="J10" i="3" s="1"/>
  <c r="G10" i="3" l="1"/>
  <c r="C230" i="6"/>
  <c r="G8" i="6"/>
  <c r="H36" i="3" l="1"/>
  <c r="J88" i="3" s="1"/>
  <c r="G36" i="3"/>
  <c r="J36" i="3"/>
  <c r="I36" i="3"/>
  <c r="E11" i="15"/>
  <c r="E17" i="15" s="1"/>
  <c r="C228" i="6"/>
  <c r="C232" i="6" s="1"/>
  <c r="J89" i="3" l="1"/>
  <c r="J90" i="3" s="1"/>
  <c r="H19" i="5"/>
  <c r="H23" i="5" s="1"/>
  <c r="C75" i="6"/>
  <c r="E75" i="6"/>
  <c r="F75" i="6"/>
  <c r="D75" i="6"/>
  <c r="G75" i="6"/>
  <c r="F16" i="15"/>
  <c r="F15" i="15"/>
  <c r="F14" i="15"/>
  <c r="F13" i="15"/>
  <c r="F12" i="15"/>
  <c r="F11" i="15"/>
  <c r="C99" i="6"/>
  <c r="H25" i="5" l="1"/>
  <c r="H35" i="5" s="1"/>
  <c r="F17" i="15"/>
  <c r="H48" i="5" l="1"/>
  <c r="H49" i="5" s="1"/>
  <c r="H58" i="5" l="1"/>
  <c r="H69" i="5" l="1"/>
  <c r="H6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7" authorId="0" shapeId="0" xr:uid="{00000000-0006-0000-0000-000001000000}">
      <text>
        <r>
          <rPr>
            <b/>
            <sz val="9"/>
            <color indexed="81"/>
            <rFont val="Tahoma"/>
            <family val="2"/>
          </rPr>
          <t>John Ray:</t>
        </r>
        <r>
          <rPr>
            <sz val="9"/>
            <color indexed="81"/>
            <rFont val="Tahoma"/>
            <family val="2"/>
          </rPr>
          <t xml:space="preserve">
85100+85200</t>
        </r>
      </text>
    </comment>
    <comment ref="C48" authorId="0" shapeId="0" xr:uid="{00000000-0006-0000-0000-000002000000}">
      <text>
        <r>
          <rPr>
            <b/>
            <sz val="9"/>
            <color indexed="81"/>
            <rFont val="Tahoma"/>
            <family val="2"/>
          </rPr>
          <t>John Ray:</t>
        </r>
        <r>
          <rPr>
            <sz val="9"/>
            <color indexed="81"/>
            <rFont val="Tahoma"/>
            <family val="2"/>
          </rPr>
          <t xml:space="preserve">
85300+81150</t>
        </r>
      </text>
    </comment>
    <comment ref="C52" authorId="0" shapeId="0" xr:uid="{00000000-0006-0000-0000-000003000000}">
      <text>
        <r>
          <rPr>
            <b/>
            <sz val="9"/>
            <color indexed="81"/>
            <rFont val="Tahoma"/>
            <family val="2"/>
          </rPr>
          <t>John Ray:</t>
        </r>
        <r>
          <rPr>
            <sz val="9"/>
            <color indexed="81"/>
            <rFont val="Tahoma"/>
            <family val="2"/>
          </rPr>
          <t xml:space="preserve">
80060+81100
</t>
        </r>
      </text>
    </comment>
    <comment ref="C53" authorId="0" shapeId="0" xr:uid="{00000000-0006-0000-0000-000004000000}">
      <text>
        <r>
          <rPr>
            <b/>
            <sz val="9"/>
            <color indexed="81"/>
            <rFont val="Tahoma"/>
            <family val="2"/>
          </rPr>
          <t>John Ray:</t>
        </r>
        <r>
          <rPr>
            <sz val="9"/>
            <color indexed="81"/>
            <rFont val="Tahoma"/>
            <family val="2"/>
          </rPr>
          <t xml:space="preserve">
80060+81100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2" authorId="0" shapeId="0" xr:uid="{00000000-0006-0000-0100-000001000000}">
      <text>
        <r>
          <rPr>
            <b/>
            <sz val="9"/>
            <color indexed="81"/>
            <rFont val="Tahoma"/>
            <family val="2"/>
          </rPr>
          <t>John Ray:</t>
        </r>
        <r>
          <rPr>
            <sz val="9"/>
            <color indexed="81"/>
            <rFont val="Tahoma"/>
            <family val="2"/>
          </rPr>
          <t xml:space="preserve">
85100+85200</t>
        </r>
      </text>
    </comment>
    <comment ref="C43" authorId="0" shapeId="0" xr:uid="{00000000-0006-0000-0100-000002000000}">
      <text>
        <r>
          <rPr>
            <b/>
            <sz val="9"/>
            <color indexed="81"/>
            <rFont val="Tahoma"/>
            <family val="2"/>
          </rPr>
          <t>John Ray:</t>
        </r>
        <r>
          <rPr>
            <sz val="9"/>
            <color indexed="81"/>
            <rFont val="Tahoma"/>
            <family val="2"/>
          </rPr>
          <t xml:space="preserve">
85300+81150</t>
        </r>
      </text>
    </comment>
    <comment ref="C47" authorId="0" shapeId="0" xr:uid="{00000000-0006-0000-0100-000003000000}">
      <text>
        <r>
          <rPr>
            <b/>
            <sz val="9"/>
            <color indexed="81"/>
            <rFont val="Tahoma"/>
            <family val="2"/>
          </rPr>
          <t>John Ray:</t>
        </r>
        <r>
          <rPr>
            <sz val="9"/>
            <color indexed="81"/>
            <rFont val="Tahoma"/>
            <family val="2"/>
          </rPr>
          <t xml:space="preserve">
80060+81100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3" authorId="0" shapeId="0" xr:uid="{D79F8756-FE5D-4A78-9C68-37A3AEEE5E4B}">
      <text>
        <r>
          <rPr>
            <b/>
            <sz val="9"/>
            <color indexed="81"/>
            <rFont val="Tahoma"/>
            <family val="2"/>
          </rPr>
          <t>John Ray:</t>
        </r>
        <r>
          <rPr>
            <sz val="9"/>
            <color indexed="81"/>
            <rFont val="Tahoma"/>
            <family val="2"/>
          </rPr>
          <t xml:space="preserve">
85100+85200</t>
        </r>
      </text>
    </comment>
    <comment ref="C44" authorId="0" shapeId="0" xr:uid="{6745B673-1D17-47F1-A0E5-83071F6DA016}">
      <text>
        <r>
          <rPr>
            <b/>
            <sz val="9"/>
            <color indexed="81"/>
            <rFont val="Tahoma"/>
            <family val="2"/>
          </rPr>
          <t>John Ray:</t>
        </r>
        <r>
          <rPr>
            <sz val="9"/>
            <color indexed="81"/>
            <rFont val="Tahoma"/>
            <family val="2"/>
          </rPr>
          <t xml:space="preserve">
85300+81150</t>
        </r>
      </text>
    </comment>
    <comment ref="C48" authorId="0" shapeId="0" xr:uid="{C4BC823B-3D16-4130-9984-A3E565FF81B2}">
      <text>
        <r>
          <rPr>
            <b/>
            <sz val="9"/>
            <color indexed="81"/>
            <rFont val="Tahoma"/>
            <family val="2"/>
          </rPr>
          <t>John Ray:</t>
        </r>
        <r>
          <rPr>
            <sz val="9"/>
            <color indexed="81"/>
            <rFont val="Tahoma"/>
            <family val="2"/>
          </rPr>
          <t xml:space="preserve">
80060+81100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9" authorId="0" shapeId="0" xr:uid="{00000000-0006-0000-0500-000001000000}">
      <text>
        <r>
          <rPr>
            <b/>
            <sz val="9"/>
            <color indexed="81"/>
            <rFont val="Tahoma"/>
            <family val="2"/>
          </rPr>
          <t>John Ray:</t>
        </r>
        <r>
          <rPr>
            <sz val="9"/>
            <color indexed="81"/>
            <rFont val="Tahoma"/>
            <family val="2"/>
          </rPr>
          <t xml:space="preserve">
85100+85200</t>
        </r>
      </text>
    </comment>
    <comment ref="C50" authorId="0" shapeId="0" xr:uid="{00000000-0006-0000-0500-000002000000}">
      <text>
        <r>
          <rPr>
            <b/>
            <sz val="9"/>
            <color indexed="81"/>
            <rFont val="Tahoma"/>
            <family val="2"/>
          </rPr>
          <t>John Ray:</t>
        </r>
        <r>
          <rPr>
            <sz val="9"/>
            <color indexed="81"/>
            <rFont val="Tahoma"/>
            <family val="2"/>
          </rPr>
          <t xml:space="preserve">
85300+81150</t>
        </r>
      </text>
    </comment>
    <comment ref="C54" authorId="0" shapeId="0" xr:uid="{00000000-0006-0000-0500-000003000000}">
      <text>
        <r>
          <rPr>
            <b/>
            <sz val="9"/>
            <color indexed="81"/>
            <rFont val="Tahoma"/>
            <family val="2"/>
          </rPr>
          <t>John Ray:</t>
        </r>
        <r>
          <rPr>
            <sz val="9"/>
            <color indexed="81"/>
            <rFont val="Tahoma"/>
            <family val="2"/>
          </rPr>
          <t xml:space="preserve">
80060+81100
</t>
        </r>
      </text>
    </comment>
    <comment ref="C55" authorId="0" shapeId="0" xr:uid="{00000000-0006-0000-0500-000004000000}">
      <text>
        <r>
          <rPr>
            <b/>
            <sz val="9"/>
            <color indexed="81"/>
            <rFont val="Tahoma"/>
            <family val="2"/>
          </rPr>
          <t>John Ray:</t>
        </r>
        <r>
          <rPr>
            <sz val="9"/>
            <color indexed="81"/>
            <rFont val="Tahoma"/>
            <family val="2"/>
          </rPr>
          <t xml:space="preserve">
80060+81100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7" authorId="0" shapeId="0" xr:uid="{00000000-0006-0000-0900-000001000000}">
      <text>
        <r>
          <rPr>
            <b/>
            <sz val="9"/>
            <color indexed="81"/>
            <rFont val="Tahoma"/>
            <family val="2"/>
          </rPr>
          <t>John Ray:</t>
        </r>
        <r>
          <rPr>
            <sz val="9"/>
            <color indexed="81"/>
            <rFont val="Tahoma"/>
            <family val="2"/>
          </rPr>
          <t xml:space="preserve">
85100+85200</t>
        </r>
      </text>
    </comment>
    <comment ref="C48" authorId="0" shapeId="0" xr:uid="{00000000-0006-0000-0900-000002000000}">
      <text>
        <r>
          <rPr>
            <b/>
            <sz val="9"/>
            <color indexed="81"/>
            <rFont val="Tahoma"/>
            <family val="2"/>
          </rPr>
          <t>John Ray:</t>
        </r>
        <r>
          <rPr>
            <sz val="9"/>
            <color indexed="81"/>
            <rFont val="Tahoma"/>
            <family val="2"/>
          </rPr>
          <t xml:space="preserve">
85300+81150</t>
        </r>
      </text>
    </comment>
    <comment ref="C53" authorId="0" shapeId="0" xr:uid="{00000000-0006-0000-0900-000003000000}">
      <text>
        <r>
          <rPr>
            <b/>
            <sz val="9"/>
            <color indexed="81"/>
            <rFont val="Tahoma"/>
            <family val="2"/>
          </rPr>
          <t>John Ray:</t>
        </r>
        <r>
          <rPr>
            <sz val="9"/>
            <color indexed="81"/>
            <rFont val="Tahoma"/>
            <family val="2"/>
          </rPr>
          <t xml:space="preserve">
80060+81100
</t>
        </r>
      </text>
    </comment>
    <comment ref="C54" authorId="0" shapeId="0" xr:uid="{00000000-0006-0000-0900-000004000000}">
      <text>
        <r>
          <rPr>
            <b/>
            <sz val="9"/>
            <color indexed="81"/>
            <rFont val="Tahoma"/>
            <family val="2"/>
          </rPr>
          <t>John Ray:</t>
        </r>
        <r>
          <rPr>
            <sz val="9"/>
            <color indexed="81"/>
            <rFont val="Tahoma"/>
            <family val="2"/>
          </rPr>
          <t xml:space="preserve">
80060+81100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17" authorId="0" shapeId="0" xr:uid="{00000000-0006-0000-0A00-000001000000}">
      <text>
        <r>
          <rPr>
            <b/>
            <sz val="9"/>
            <color indexed="81"/>
            <rFont val="Tahoma"/>
            <family val="2"/>
          </rPr>
          <t>John Ray:</t>
        </r>
        <r>
          <rPr>
            <sz val="9"/>
            <color indexed="81"/>
            <rFont val="Tahoma"/>
            <family val="2"/>
          </rPr>
          <t xml:space="preserve">
85300+81150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K20" authorId="0" shapeId="0" xr:uid="{00000000-0006-0000-0F00-000001000000}">
      <text>
        <r>
          <rPr>
            <b/>
            <sz val="9"/>
            <color indexed="81"/>
            <rFont val="Tahoma"/>
            <family val="2"/>
          </rPr>
          <t>John Ray:</t>
        </r>
        <r>
          <rPr>
            <sz val="9"/>
            <color indexed="81"/>
            <rFont val="Tahoma"/>
            <family val="2"/>
          </rPr>
          <t xml:space="preserve">
Gain from Philly Ins Claim, see Dec 18th</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5" authorId="0" shapeId="0" xr:uid="{00000000-0006-0000-1000-000001000000}">
      <text>
        <r>
          <rPr>
            <b/>
            <sz val="9"/>
            <color indexed="81"/>
            <rFont val="Tahoma"/>
            <family val="2"/>
          </rPr>
          <t>John Ray:</t>
        </r>
        <r>
          <rPr>
            <sz val="9"/>
            <color indexed="81"/>
            <rFont val="Tahoma"/>
            <family val="2"/>
          </rPr>
          <t xml:space="preserve">
85100+85200</t>
        </r>
      </text>
    </comment>
    <comment ref="C46" authorId="0" shapeId="0" xr:uid="{00000000-0006-0000-1000-000002000000}">
      <text>
        <r>
          <rPr>
            <b/>
            <sz val="9"/>
            <color indexed="81"/>
            <rFont val="Tahoma"/>
            <family val="2"/>
          </rPr>
          <t>John Ray:</t>
        </r>
        <r>
          <rPr>
            <sz val="9"/>
            <color indexed="81"/>
            <rFont val="Tahoma"/>
            <family val="2"/>
          </rPr>
          <t xml:space="preserve">
85300+81150</t>
        </r>
      </text>
    </comment>
    <comment ref="C51" authorId="0" shapeId="0" xr:uid="{00000000-0006-0000-1000-000003000000}">
      <text>
        <r>
          <rPr>
            <b/>
            <sz val="9"/>
            <color indexed="81"/>
            <rFont val="Tahoma"/>
            <family val="2"/>
          </rPr>
          <t>John Ray:</t>
        </r>
        <r>
          <rPr>
            <sz val="9"/>
            <color indexed="81"/>
            <rFont val="Tahoma"/>
            <family val="2"/>
          </rPr>
          <t xml:space="preserve">
80060+81100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2" authorId="0" shapeId="0" xr:uid="{00000000-0006-0000-1200-000001000000}">
      <text>
        <r>
          <rPr>
            <b/>
            <sz val="9"/>
            <color indexed="81"/>
            <rFont val="Tahoma"/>
            <family val="2"/>
          </rPr>
          <t>John Ray:</t>
        </r>
        <r>
          <rPr>
            <sz val="9"/>
            <color indexed="81"/>
            <rFont val="Tahoma"/>
            <family val="2"/>
          </rPr>
          <t xml:space="preserve">
85100+85200</t>
        </r>
      </text>
    </comment>
    <comment ref="C43" authorId="0" shapeId="0" xr:uid="{00000000-0006-0000-1200-000002000000}">
      <text>
        <r>
          <rPr>
            <b/>
            <sz val="9"/>
            <color indexed="81"/>
            <rFont val="Tahoma"/>
            <family val="2"/>
          </rPr>
          <t>John Ray:</t>
        </r>
        <r>
          <rPr>
            <sz val="9"/>
            <color indexed="81"/>
            <rFont val="Tahoma"/>
            <family val="2"/>
          </rPr>
          <t xml:space="preserve">
85300+81150</t>
        </r>
      </text>
    </comment>
    <comment ref="C49" authorId="0" shapeId="0" xr:uid="{00000000-0006-0000-1200-000003000000}">
      <text>
        <r>
          <rPr>
            <b/>
            <sz val="9"/>
            <color indexed="81"/>
            <rFont val="Tahoma"/>
            <family val="2"/>
          </rPr>
          <t>John Ray:</t>
        </r>
        <r>
          <rPr>
            <sz val="9"/>
            <color indexed="81"/>
            <rFont val="Tahoma"/>
            <family val="2"/>
          </rPr>
          <t xml:space="preserve">
80060+81100
</t>
        </r>
      </text>
    </comment>
    <comment ref="C50" authorId="0" shapeId="0" xr:uid="{00000000-0006-0000-1200-000004000000}">
      <text>
        <r>
          <rPr>
            <b/>
            <sz val="9"/>
            <color indexed="81"/>
            <rFont val="Tahoma"/>
            <family val="2"/>
          </rPr>
          <t>John Ray:</t>
        </r>
        <r>
          <rPr>
            <sz val="9"/>
            <color indexed="81"/>
            <rFont val="Tahoma"/>
            <family val="2"/>
          </rPr>
          <t xml:space="preserve">
80060+81100
</t>
        </r>
      </text>
    </comment>
  </commentList>
</comments>
</file>

<file path=xl/sharedStrings.xml><?xml version="1.0" encoding="utf-8"?>
<sst xmlns="http://schemas.openxmlformats.org/spreadsheetml/2006/main" count="1504" uniqueCount="694">
  <si>
    <t>Columbia County Community Healthcare Consortium, Inc.</t>
  </si>
  <si>
    <t>Grant No.</t>
  </si>
  <si>
    <t>Start Date</t>
  </si>
  <si>
    <t>End Date</t>
  </si>
  <si>
    <t>Deferred Revenue</t>
  </si>
  <si>
    <t>Contract</t>
  </si>
  <si>
    <t>Jan Koweek Memorial Fund-Restricted to Health Use</t>
  </si>
  <si>
    <t>Cancer Donations - Columbia County</t>
  </si>
  <si>
    <t>Cancer Donations - Greene County</t>
  </si>
  <si>
    <t>Grant/Contract Budget</t>
  </si>
  <si>
    <t>Unspent Funds</t>
  </si>
  <si>
    <t>Foundation for Community Health</t>
  </si>
  <si>
    <t>Funder</t>
  </si>
  <si>
    <t>NYSDOH</t>
  </si>
  <si>
    <t xml:space="preserve">NYSDOH </t>
  </si>
  <si>
    <t>Transportation Services</t>
  </si>
  <si>
    <t>CoCo Office for the Aging</t>
  </si>
  <si>
    <t>Dyson Foundation</t>
  </si>
  <si>
    <t>Alternative Cancer Treatments</t>
  </si>
  <si>
    <t xml:space="preserve"> Unspent Funds</t>
  </si>
  <si>
    <t>Donations</t>
  </si>
  <si>
    <t>Subcontract</t>
  </si>
  <si>
    <t>Program Name</t>
  </si>
  <si>
    <t>Contract Amount</t>
  </si>
  <si>
    <t>Description</t>
  </si>
  <si>
    <t>none</t>
  </si>
  <si>
    <t>Actual Expenses Contract YTD</t>
  </si>
  <si>
    <t>Income Received Contract YTD</t>
  </si>
  <si>
    <t xml:space="preserve">Foundation revenue subtotal </t>
  </si>
  <si>
    <t>Interest Received on Late Payments from NYS</t>
  </si>
  <si>
    <t>REVENUES, SUPPORTS, AND EXPENSES</t>
  </si>
  <si>
    <t>Category</t>
  </si>
  <si>
    <t>Interest</t>
  </si>
  <si>
    <t>Grants subtotal</t>
  </si>
  <si>
    <t>All other revenue subtotal</t>
  </si>
  <si>
    <t>FOUNDATION REVENUE (all sources of revenue providing advance payment of funds, which may be carried over from one fiscal year to the next)</t>
  </si>
  <si>
    <t>Amount</t>
  </si>
  <si>
    <t>FQHC Feasibility Study</t>
  </si>
  <si>
    <t>HRSA</t>
  </si>
  <si>
    <t>Private Donor</t>
  </si>
  <si>
    <t>Reimbursements for transportation costs</t>
  </si>
  <si>
    <t>Difference</t>
  </si>
  <si>
    <t>COLA Tobacco</t>
  </si>
  <si>
    <t>Transportation</t>
  </si>
  <si>
    <t>Medicaid - Transportation</t>
  </si>
  <si>
    <t>Total Transportation</t>
  </si>
  <si>
    <t>AR from Above</t>
  </si>
  <si>
    <t>Last updated March 15, 2012</t>
  </si>
  <si>
    <t>ASSETS</t>
  </si>
  <si>
    <t>Amount $</t>
  </si>
  <si>
    <t>Current Assets</t>
  </si>
  <si>
    <t>Checking/Savings</t>
  </si>
  <si>
    <t>Total Checking/Savings</t>
  </si>
  <si>
    <t>Accounts Receivable</t>
  </si>
  <si>
    <t>Other Current Assets</t>
  </si>
  <si>
    <t>Total Other Current Assets</t>
  </si>
  <si>
    <t>Total Current Assets</t>
  </si>
  <si>
    <t>Fixed Assets</t>
  </si>
  <si>
    <t>TOTAL ASSETS</t>
  </si>
  <si>
    <t>LIABILITIES &amp; EQUITY</t>
  </si>
  <si>
    <t>LIABILITIES</t>
  </si>
  <si>
    <t>Current Liabilities</t>
  </si>
  <si>
    <t>EQUITY</t>
  </si>
  <si>
    <t>TOTAL EQUITY</t>
  </si>
  <si>
    <t>TOTAL LIABILITIES &amp; EQUITY</t>
  </si>
  <si>
    <t>Rural Health Network</t>
  </si>
  <si>
    <t>Tobacco-Free Action</t>
  </si>
  <si>
    <t>Integrated Cancer Services Program</t>
  </si>
  <si>
    <t>Total Integrated Cancer Services Program</t>
  </si>
  <si>
    <t>Total FQHC Feasibility Study</t>
  </si>
  <si>
    <t xml:space="preserve">Medicaid </t>
  </si>
  <si>
    <t>Total  · Current Liabilities</t>
  </si>
  <si>
    <t>Total  · Payroll Liabilities</t>
  </si>
  <si>
    <t>Payroll Liabilities</t>
  </si>
  <si>
    <t>Total Current &amp; Payroll Liabilities</t>
  </si>
  <si>
    <t>Operating - First Niagara</t>
  </si>
  <si>
    <t>Money Market - First Niagara</t>
  </si>
  <si>
    <t>Petty Cash</t>
  </si>
  <si>
    <t>Prepaid Accounts</t>
  </si>
  <si>
    <t>Furniture and Equipment</t>
  </si>
  <si>
    <t>Mini Bus</t>
  </si>
  <si>
    <t>Vehicles</t>
  </si>
  <si>
    <t>Less: Accumulated Depreciation</t>
  </si>
  <si>
    <t>Other Accrued Expenses</t>
  </si>
  <si>
    <t>Unrestricted Net Assets</t>
  </si>
  <si>
    <t>Change in Net Assets</t>
  </si>
  <si>
    <t>Accrued Wages &amp; Taxes</t>
  </si>
  <si>
    <t>Accrued Compensating Absences</t>
  </si>
  <si>
    <t>Health Insurance Payable</t>
  </si>
  <si>
    <t>Dental Insurance Payable</t>
  </si>
  <si>
    <t xml:space="preserve">Temporarily Restricted </t>
  </si>
  <si>
    <t xml:space="preserve">Facilitated Enrollment Program </t>
  </si>
  <si>
    <t>Grant Advance Liability</t>
  </si>
  <si>
    <t>Columbia County Community Healthcare Consortium , Inc.</t>
  </si>
  <si>
    <t>Advance Funding Payable</t>
  </si>
  <si>
    <t>Credit Card - Payable</t>
  </si>
  <si>
    <t>Donations from Transport. Clients</t>
  </si>
  <si>
    <t>Total Grant Advances</t>
  </si>
  <si>
    <t>Closed</t>
  </si>
  <si>
    <t>Revenue and Support</t>
  </si>
  <si>
    <t>Grants - New York State</t>
  </si>
  <si>
    <t>Columbia County Departments</t>
  </si>
  <si>
    <t>Donations - Transportation</t>
  </si>
  <si>
    <t>In-Kind Rent</t>
  </si>
  <si>
    <t>Total Revenue and Support</t>
  </si>
  <si>
    <t>Assets Released from Restrictions</t>
  </si>
  <si>
    <t>Total Revenue and Other Support</t>
  </si>
  <si>
    <t>Changes in Unrestricted Net Assets</t>
  </si>
  <si>
    <t>In-Kind Rent - Columbia County</t>
  </si>
  <si>
    <t>Interest - Bank Accounts</t>
  </si>
  <si>
    <t>Expenses:</t>
  </si>
  <si>
    <t>Salaries</t>
  </si>
  <si>
    <t>Payroll Taxes and Benefits</t>
  </si>
  <si>
    <t>Rents/Storage</t>
  </si>
  <si>
    <t>Telephone</t>
  </si>
  <si>
    <t>Postage</t>
  </si>
  <si>
    <t>Office Supplies</t>
  </si>
  <si>
    <t>Program Supplies</t>
  </si>
  <si>
    <t>Medical, Prescriptions &amp; Financial Assistance</t>
  </si>
  <si>
    <t>Printing and Copying</t>
  </si>
  <si>
    <t>Dues &amp; Subscriptions</t>
  </si>
  <si>
    <t>Network/Computer/Website</t>
  </si>
  <si>
    <t>Insurance</t>
  </si>
  <si>
    <t>Sponsored Events</t>
  </si>
  <si>
    <t>Depreciation</t>
  </si>
  <si>
    <t>Contract Professional/Subcontractor Fees</t>
  </si>
  <si>
    <t>Advertising &amp; Promotion</t>
  </si>
  <si>
    <t>Total Expenses</t>
  </si>
  <si>
    <t>Change in Unrestricted Net Assets</t>
  </si>
  <si>
    <t>Staff Development &amp; Board Recognition</t>
  </si>
  <si>
    <t>Current Month</t>
  </si>
  <si>
    <t>Previous Month</t>
  </si>
  <si>
    <t>Three Months Ago</t>
  </si>
  <si>
    <t>Older than Three Months</t>
  </si>
  <si>
    <t>Office for the Aging - Senior Transportation</t>
  </si>
  <si>
    <t>Total Tobacco-Free Action</t>
  </si>
  <si>
    <t>Total Facilitated Enrollment Program</t>
  </si>
  <si>
    <t>ALL OTHER REVENUE</t>
  </si>
  <si>
    <t>OFA: NY Connects, Senior Transportation</t>
  </si>
  <si>
    <t>Financial Assistant Funds</t>
  </si>
  <si>
    <t>Contributions:</t>
  </si>
  <si>
    <t>Columbia County Government</t>
  </si>
  <si>
    <t>Net Assets, End of Period</t>
  </si>
  <si>
    <t>Net Assets, Beginning of Period</t>
  </si>
  <si>
    <t>Miscellaneous Revenue - NYS Interest &amp; Others</t>
  </si>
  <si>
    <t>Transportation-SUNY</t>
  </si>
  <si>
    <t>Donations to CCCHC</t>
  </si>
  <si>
    <t xml:space="preserve">Grants Receivable </t>
  </si>
  <si>
    <t xml:space="preserve">Accounts Payable </t>
  </si>
  <si>
    <t xml:space="preserve">Transportation - Medicaid </t>
  </si>
  <si>
    <t>IPA/Navigator Program</t>
  </si>
  <si>
    <t>Total IPA/Navigator Program</t>
  </si>
  <si>
    <t>NYSDOH 01/13 to 12/13 (Ends Oct 2013)</t>
  </si>
  <si>
    <t>Total Rural Health Network</t>
  </si>
  <si>
    <t>C-028916</t>
  </si>
  <si>
    <t>Accrued-Medicaid Billing Error</t>
  </si>
  <si>
    <t>Prepaid Expenses</t>
  </si>
  <si>
    <t>GRANT AND CONTRACT REVENUE (all sources of revenue operating on a reimbursement basis, occurring on a contract rather than fiscal year, and w/o carryover from one contract year to the next)</t>
  </si>
  <si>
    <t>Dept. of Human Services</t>
  </si>
  <si>
    <t>Miscellaneous Receivable</t>
  </si>
  <si>
    <t>Donations - Others</t>
  </si>
  <si>
    <t>Income Received YTD</t>
  </si>
  <si>
    <t>Actual Expenses YTD</t>
  </si>
  <si>
    <t>Gain on Sale of Vehicles</t>
  </si>
  <si>
    <r>
      <t xml:space="preserve">Transportation Services </t>
    </r>
    <r>
      <rPr>
        <sz val="9"/>
        <color rgb="FF000000"/>
        <rFont val="Arial"/>
        <family val="2"/>
      </rPr>
      <t>(Fuel, Repairs, Lease, Insurance &amp; Licenses)</t>
    </r>
  </si>
  <si>
    <t>Audit &amp; Tax Preparation</t>
  </si>
  <si>
    <t>CSP Patient Services - NYS &amp; Federal</t>
  </si>
  <si>
    <r>
      <t xml:space="preserve">Statement of Financial Position </t>
    </r>
    <r>
      <rPr>
        <b/>
        <sz val="11"/>
        <color theme="1"/>
        <rFont val="Calibri"/>
        <family val="2"/>
        <scheme val="minor"/>
      </rPr>
      <t>(Balance Sheet)</t>
    </r>
  </si>
  <si>
    <r>
      <t xml:space="preserve">Columbia County Departments </t>
    </r>
    <r>
      <rPr>
        <sz val="10"/>
        <color rgb="FF000000"/>
        <rFont val="Arial"/>
        <family val="2"/>
      </rPr>
      <t>(C.A.R.T.S)</t>
    </r>
  </si>
  <si>
    <t>Expenses from 01/2014 to 8/2014</t>
  </si>
  <si>
    <t>Finance &amp; Budget Committee Meeting</t>
  </si>
  <si>
    <t xml:space="preserve">   Fiscal Highlights</t>
  </si>
  <si>
    <t>Grants - Federal (HRI)</t>
  </si>
  <si>
    <t>Other Receipts of Interest:</t>
  </si>
  <si>
    <t>Columbia County Dept. of Human Services</t>
  </si>
  <si>
    <t>Total Columbia County Dept. Human Services</t>
  </si>
  <si>
    <t>Operating - Bank of Greene Co.</t>
  </si>
  <si>
    <t>Payroll - Bank of Greene Co.</t>
  </si>
  <si>
    <t>Greene County DSS</t>
  </si>
  <si>
    <t>Remarks</t>
  </si>
  <si>
    <t>$ Change</t>
  </si>
  <si>
    <t>Statement of Financial Position</t>
  </si>
  <si>
    <t>Current Assets:</t>
  </si>
  <si>
    <t>Cash and Cash Equivalents</t>
  </si>
  <si>
    <t>Grant Receivable</t>
  </si>
  <si>
    <t>Investments</t>
  </si>
  <si>
    <t>Property and Equipment, Net of Accumulated Depreciation</t>
  </si>
  <si>
    <t>Current Liabilities:</t>
  </si>
  <si>
    <t>Accrued Wages and Benefits Payable</t>
  </si>
  <si>
    <t>Accrued Expenses</t>
  </si>
  <si>
    <t>Other Liability</t>
  </si>
  <si>
    <t>Net Assets:</t>
  </si>
  <si>
    <t>%</t>
  </si>
  <si>
    <t>$28.85, and</t>
  </si>
  <si>
    <t>NY Connects Expansion &amp; Enhancement Program</t>
  </si>
  <si>
    <t>Grants           Receivable</t>
  </si>
  <si>
    <t>COLA CSP Infrastructure</t>
  </si>
  <si>
    <t>Ratio of (Cash &amp; Receivables) to Liabilities</t>
  </si>
  <si>
    <t>Travel, Meals and Conferences</t>
  </si>
  <si>
    <t>Fund Name</t>
  </si>
  <si>
    <t xml:space="preserve">Beginning Balance at January 1st </t>
  </si>
  <si>
    <t>+ Contributions</t>
  </si>
  <si>
    <t>&lt;Distributions&gt;</t>
  </si>
  <si>
    <r>
      <t>Columbia County</t>
    </r>
    <r>
      <rPr>
        <sz val="11"/>
        <color theme="1"/>
        <rFont val="Times New Roman"/>
        <family val="1"/>
      </rPr>
      <t xml:space="preserve"> -</t>
    </r>
    <r>
      <rPr>
        <sz val="9"/>
        <color theme="1"/>
        <rFont val="Times New Roman"/>
        <family val="1"/>
      </rPr>
      <t>CARTS &amp; Receptionist</t>
    </r>
  </si>
  <si>
    <t>Columbia County Cancer Fund</t>
  </si>
  <si>
    <t>Greene County Cancer Fund</t>
  </si>
  <si>
    <t>Jan Koweek Fund</t>
  </si>
  <si>
    <t>Totals of Temporary Restricted Funds</t>
  </si>
  <si>
    <t>Total AP from Above</t>
  </si>
  <si>
    <t>Transportation Services (Quarterly Voucher)</t>
  </si>
  <si>
    <t>Grant Development Services (Quarterly Voucher)</t>
  </si>
  <si>
    <t>Investment</t>
  </si>
  <si>
    <t>Statement of Activities-Transportation</t>
  </si>
  <si>
    <t>Grants - New York State - Rural Health Network</t>
  </si>
  <si>
    <t>OFA: Senior Transportation</t>
  </si>
  <si>
    <t>Foundation Revenue-FCH-Sharon/Ancram/Copake</t>
  </si>
  <si>
    <t>In-Kind Rent - Columbia County (20%)</t>
  </si>
  <si>
    <t>Assets Released from Restrictions-CC Depts.</t>
  </si>
  <si>
    <t>Assets Released from Restrictions-Columbia Cty</t>
  </si>
  <si>
    <t>Salaries and Payroll Taxes &amp; Fringe</t>
  </si>
  <si>
    <t>Drivers</t>
  </si>
  <si>
    <t>Transportation Coordinators &amp; Support</t>
  </si>
  <si>
    <t xml:space="preserve">Vehicle Fuel </t>
  </si>
  <si>
    <t>Vehicle Insurance</t>
  </si>
  <si>
    <t>Vehicle Licenses &amp; Permits</t>
  </si>
  <si>
    <t>Depreciation-Vehicles</t>
  </si>
  <si>
    <t>Audit</t>
  </si>
  <si>
    <t>Office &amp; Program Supplies</t>
  </si>
  <si>
    <t>General Insurance</t>
  </si>
  <si>
    <t>Other Expenses</t>
  </si>
  <si>
    <t>Add Back Deprecation</t>
  </si>
  <si>
    <t>Net Cash</t>
  </si>
  <si>
    <t>Various Medical Providers</t>
  </si>
  <si>
    <t>Prescription Rx Access</t>
  </si>
  <si>
    <t>Transportation: Acram/Copake</t>
  </si>
  <si>
    <t>Total Advance Funding Payable</t>
  </si>
  <si>
    <t>Investment Income</t>
  </si>
  <si>
    <t>Foundation Revenue - FCH &amp; Dyson</t>
  </si>
  <si>
    <t>Income</t>
  </si>
  <si>
    <t xml:space="preserve">FCISX </t>
  </si>
  <si>
    <t xml:space="preserve">FRUGX </t>
  </si>
  <si>
    <t xml:space="preserve">FRGSX </t>
  </si>
  <si>
    <t>FCSCX</t>
  </si>
  <si>
    <t xml:space="preserve">FSGCX </t>
  </si>
  <si>
    <t>TEGBX</t>
  </si>
  <si>
    <t>Month in Service</t>
  </si>
  <si>
    <t>Funding Source</t>
  </si>
  <si>
    <t>Supplier</t>
  </si>
  <si>
    <t>Cost</t>
  </si>
  <si>
    <r>
      <rPr>
        <b/>
        <sz val="11"/>
        <color theme="1"/>
        <rFont val="Calibri"/>
        <family val="2"/>
        <scheme val="minor"/>
      </rPr>
      <t>TEGBX</t>
    </r>
    <r>
      <rPr>
        <sz val="11"/>
        <color theme="1"/>
        <rFont val="Arial"/>
        <family val="2"/>
      </rPr>
      <t xml:space="preserve">-Templeton Global Bond Fund Class C - Strategy: The Fund seeks current income with capital appreciation and growth of income by investing at least 80% of its net assets in "bonds." In addition, the Fund's assets will be invested in issuers located in at least three countries including the U.S.
</t>
    </r>
  </si>
  <si>
    <r>
      <rPr>
        <b/>
        <sz val="11"/>
        <color theme="1"/>
        <rFont val="Calibri"/>
        <family val="2"/>
        <scheme val="minor"/>
      </rPr>
      <t>FSGCX</t>
    </r>
    <r>
      <rPr>
        <sz val="11"/>
        <color theme="1"/>
        <rFont val="Arial"/>
        <family val="2"/>
      </rPr>
      <t xml:space="preserve">-Franklin Templeton Strategic Income Fund Class C - Strategy: The Fund seeks to earn a high level of current income. Its secondary goal is capital appreciation over the long term. The Fund invests at least 65% of its assets in U.S. and foreign debt securities.
</t>
    </r>
  </si>
  <si>
    <r>
      <rPr>
        <b/>
        <sz val="11"/>
        <color theme="1"/>
        <rFont val="Calibri"/>
        <family val="2"/>
        <scheme val="minor"/>
      </rPr>
      <t>FCSCX</t>
    </r>
    <r>
      <rPr>
        <sz val="11"/>
        <color theme="1"/>
        <rFont val="Arial"/>
        <family val="2"/>
      </rPr>
      <t xml:space="preserve">-Franklin Adjustable US Government Securities Fund Class C- Strategy: The Fund seeks a high level of current income while providing lower volatility of principal than a fund that invests in fixed-rate securities. The Fund invests at least 80% of its net assets in adjustable-rate U.S. government mortgage securities.
</t>
    </r>
  </si>
  <si>
    <r>
      <rPr>
        <b/>
        <sz val="11"/>
        <color theme="1"/>
        <rFont val="Calibri"/>
        <family val="2"/>
        <scheme val="minor"/>
      </rPr>
      <t>FRGSX</t>
    </r>
    <r>
      <rPr>
        <sz val="11"/>
        <color theme="1"/>
        <rFont val="Arial"/>
        <family val="2"/>
      </rPr>
      <t xml:space="preserve">-Franklin Growth Series Class C- Strategy: The Fund seeks capital appreciation. The Fund primarily invests in equity securities that are leaders in their industries.
</t>
    </r>
  </si>
  <si>
    <r>
      <rPr>
        <b/>
        <sz val="11"/>
        <color theme="1"/>
        <rFont val="Calibri"/>
        <family val="2"/>
        <scheme val="minor"/>
      </rPr>
      <t>FCISX</t>
    </r>
    <r>
      <rPr>
        <sz val="11"/>
        <color theme="1"/>
        <rFont val="Arial"/>
        <family val="2"/>
      </rPr>
      <t xml:space="preserve">-Franklin Income Series Class C- Strategy: The Fund seeks to maximize income while maintaining prospects for capital appreciation. The Fund will achieve this by investing in a diversified portfolio of debt and equity securities. 
</t>
    </r>
  </si>
  <si>
    <t>Columbia County Depts.-CARTS</t>
  </si>
  <si>
    <r>
      <rPr>
        <b/>
        <sz val="11"/>
        <color theme="1"/>
        <rFont val="Calibri"/>
        <family val="2"/>
        <scheme val="minor"/>
      </rPr>
      <t>FRUGX</t>
    </r>
    <r>
      <rPr>
        <sz val="11"/>
        <color theme="1"/>
        <rFont val="Arial"/>
        <family val="2"/>
      </rPr>
      <t xml:space="preserve">-Franklin US Government Securities Series Class C- Strategy: The Fund seeks income. Under normal market conditions, the Fund invests at least 80% of its net assets in U.S. government securities. The Fund presently invests substantially all of its assets in Government National Mortgage Association obligations (Ginnie Maes).
</t>
    </r>
  </si>
  <si>
    <t>Totals</t>
  </si>
  <si>
    <t>Ten Months Ended October 31, 2016 and 2015</t>
  </si>
  <si>
    <t>Bank Fees</t>
  </si>
  <si>
    <t>Date</t>
  </si>
  <si>
    <t>Balance</t>
  </si>
  <si>
    <t>Transportation Services (2017)</t>
  </si>
  <si>
    <t>Organizational Budget</t>
  </si>
  <si>
    <t>Twelve Months Ended December 31, 2017</t>
  </si>
  <si>
    <t>Less: Purchase of Vehicles</t>
  </si>
  <si>
    <t>NYSDOH Infrastructure Grant 04/17 to 03/18</t>
  </si>
  <si>
    <t>NYSDOH Clinical Services Grant 04/17 to 03/18</t>
  </si>
  <si>
    <t>Columbia County - Office of the Aging</t>
  </si>
  <si>
    <t>Max</t>
  </si>
  <si>
    <t>Min</t>
  </si>
  <si>
    <t>Columbia County</t>
  </si>
  <si>
    <t>Mileage</t>
  </si>
  <si>
    <t>Sold thru</t>
  </si>
  <si>
    <t>Vehicle Fuel &amp; Repairs</t>
  </si>
  <si>
    <t>CSP Clinical Services</t>
  </si>
  <si>
    <t>Pending on NYS Statewide Financial System Website</t>
  </si>
  <si>
    <r>
      <t>è</t>
    </r>
    <r>
      <rPr>
        <b/>
        <sz val="12"/>
        <color theme="1"/>
        <rFont val="Times New Roman"/>
        <family val="1"/>
      </rPr>
      <t xml:space="preserve"> Miscellaneous Receivable</t>
    </r>
    <r>
      <rPr>
        <sz val="12"/>
        <color theme="1"/>
        <rFont val="Calibri"/>
        <family val="2"/>
      </rPr>
      <t xml:space="preserve"> - Auctions International owes Agency $3,350 for sale of 2010 Dodge Grand Caravan that was completed during the month of August. Funds received September 19, 2017.  </t>
    </r>
  </si>
  <si>
    <t xml:space="preserve">Transportation Services </t>
  </si>
  <si>
    <t>Weekly Medicaid Claim Revenue</t>
  </si>
  <si>
    <t>Week</t>
  </si>
  <si>
    <t>2012 Medicaid</t>
  </si>
  <si>
    <t>2013 Medicaid</t>
  </si>
  <si>
    <t>2014 Medicaid</t>
  </si>
  <si>
    <t>2015 Medicaid</t>
  </si>
  <si>
    <t>2016 Medicaid</t>
  </si>
  <si>
    <t>2017 Medicaid</t>
  </si>
  <si>
    <t xml:space="preserve">Wkly Medicaid </t>
  </si>
  <si>
    <t>Wkly Claims</t>
  </si>
  <si>
    <t>Variance ('17 vs.'16)</t>
  </si>
  <si>
    <t>1st Quarter Total</t>
  </si>
  <si>
    <t>2nd Quarter Total</t>
  </si>
  <si>
    <t>3rd Quarter Total</t>
  </si>
  <si>
    <t>4th Quarter Total</t>
  </si>
  <si>
    <t>YTD Totals</t>
  </si>
  <si>
    <t>Wkly Avg 1st Quarter</t>
  </si>
  <si>
    <t>Wkly Avg 2nd Quarter</t>
  </si>
  <si>
    <t>Wkly Avg 3rd Quarter</t>
  </si>
  <si>
    <t>Wkly Avg 4th Quarter</t>
  </si>
  <si>
    <t>Medicaid Revenue -Transportation</t>
  </si>
  <si>
    <t>Fund</t>
  </si>
  <si>
    <t>Percent Total Assets</t>
  </si>
  <si>
    <t>Unrealized Gain (Loss) on Investments</t>
  </si>
  <si>
    <t>Complementary Therapies Fund</t>
  </si>
  <si>
    <t>Vehicle Maintenance &amp; Repairs</t>
  </si>
  <si>
    <t>CoCo Dept. of Human Services</t>
  </si>
  <si>
    <t>Greene County-Dept. of Social Services</t>
  </si>
  <si>
    <t>NYSDOH Infrastructure Grant 04/18 to 09/18</t>
  </si>
  <si>
    <t>NYSDOH Clinical Services Grant 04/18 to 09/18</t>
  </si>
  <si>
    <t>Vehicle mileage for period</t>
  </si>
  <si>
    <t>Number of Rides for period</t>
  </si>
  <si>
    <t>Number of Medicaid Rides for Period</t>
  </si>
  <si>
    <t>HRI Clinical Services 07/18 to 09/18</t>
  </si>
  <si>
    <t>Transportation Scheduling Software-RoutingBox</t>
  </si>
  <si>
    <t>Cost per mile (w/o depreciation&amp;rent)</t>
  </si>
  <si>
    <t>Transportation Services (2019)</t>
  </si>
  <si>
    <t>For the Year Ended December 31, 2019</t>
  </si>
  <si>
    <t>Grants - Federal (5310 Funding)</t>
  </si>
  <si>
    <t>Columbia County BOS</t>
  </si>
  <si>
    <t>Unrealized Gain on Investments</t>
  </si>
  <si>
    <t>Community Cancer Funds</t>
  </si>
  <si>
    <t>Gain on Sale of Vehicle</t>
  </si>
  <si>
    <t>The Research Foundation - SUNY (Women's Project)</t>
  </si>
  <si>
    <t>Legal</t>
  </si>
  <si>
    <t>Federal</t>
  </si>
  <si>
    <t>Total Fixed Assets-Net</t>
  </si>
  <si>
    <t>Rural Health Network Program- Yr#1of 5</t>
  </si>
  <si>
    <t>Columbia County Dept. of Human Services (Qrtly)</t>
  </si>
  <si>
    <t>Without Donor Restrictions</t>
  </si>
  <si>
    <t>With Donor Restrictions</t>
  </si>
  <si>
    <t>With Donor Restrictions Net Assets</t>
  </si>
  <si>
    <t>Statement of Activities</t>
  </si>
  <si>
    <t xml:space="preserve">Change in With Donor Restrictions </t>
  </si>
  <si>
    <t>Changes in With Donor Restrictions - Net Assets</t>
  </si>
  <si>
    <t>Columbia Memorial Hospital</t>
  </si>
  <si>
    <t>Misc. Revenue</t>
  </si>
  <si>
    <t>Beginning Balance at 01/01/2019</t>
  </si>
  <si>
    <t>Circulation</t>
  </si>
  <si>
    <t>Columbia Memorial Hospital-Comm Health Plan</t>
  </si>
  <si>
    <t>C34801GG</t>
  </si>
  <si>
    <t>C34154GG</t>
  </si>
  <si>
    <r>
      <t xml:space="preserve">In Person Assisitors &amp; Navigators </t>
    </r>
    <r>
      <rPr>
        <sz val="10"/>
        <color theme="1"/>
        <rFont val="Arial"/>
        <family val="2"/>
      </rPr>
      <t>(7 Mth Extension)</t>
    </r>
  </si>
  <si>
    <t>Total Donor Restrictions</t>
  </si>
  <si>
    <t>Gain (Loss) on Sale of Vehicle</t>
  </si>
  <si>
    <t>Total Additions</t>
  </si>
  <si>
    <t>Total Sales</t>
  </si>
  <si>
    <t>Greene County DSS &amp; Others</t>
  </si>
  <si>
    <t>State</t>
  </si>
  <si>
    <t>Local</t>
  </si>
  <si>
    <t>Other</t>
  </si>
  <si>
    <t>Plug</t>
  </si>
  <si>
    <t>Annual Credit Sales</t>
  </si>
  <si>
    <t>Avg A?R</t>
  </si>
  <si>
    <t>A/R Ratio</t>
  </si>
  <si>
    <t>Days</t>
  </si>
  <si>
    <t>County</t>
  </si>
  <si>
    <t>Percent %</t>
  </si>
  <si>
    <t>Dyson</t>
  </si>
  <si>
    <t>Aging Percent %</t>
  </si>
  <si>
    <t>Additions:</t>
  </si>
  <si>
    <t>Month</t>
  </si>
  <si>
    <r>
      <t xml:space="preserve">è </t>
    </r>
    <r>
      <rPr>
        <sz val="12"/>
        <color theme="1"/>
        <rFont val="Times New Roman"/>
        <family val="1"/>
      </rPr>
      <t>Investment - Infinex Financial-Securities - Brief Description</t>
    </r>
  </si>
  <si>
    <t>C34567GG</t>
  </si>
  <si>
    <t>Funds Purchased/&lt;Sold&gt;</t>
  </si>
  <si>
    <t>FDYNX</t>
  </si>
  <si>
    <t>FRDTX</t>
  </si>
  <si>
    <t>Cash</t>
  </si>
  <si>
    <r>
      <rPr>
        <b/>
        <sz val="11"/>
        <color theme="1"/>
        <rFont val="Calibri"/>
        <family val="2"/>
        <scheme val="minor"/>
      </rPr>
      <t>FDYNX</t>
    </r>
    <r>
      <rPr>
        <sz val="11"/>
        <color theme="1"/>
        <rFont val="Arial"/>
        <family val="2"/>
      </rPr>
      <t>-Franklin Dynatech Class C Strategy: The fund seeks capital appreciation by investing primarily in companies which management believes are leaders in innovation, take advantage of new technologies, have superior management, and benefit from new industry conditions in the dynamically changing global economy.</t>
    </r>
  </si>
  <si>
    <r>
      <rPr>
        <b/>
        <sz val="11"/>
        <color theme="1"/>
        <rFont val="Calibri"/>
        <family val="2"/>
        <scheme val="minor"/>
      </rPr>
      <t>FRDTX</t>
    </r>
    <r>
      <rPr>
        <sz val="11"/>
        <color theme="1"/>
        <rFont val="Arial"/>
        <family val="2"/>
      </rPr>
      <t xml:space="preserve">-Franklin Rising Dividends Class C- Strategy: The fund seeks long-term capital appreciation by investing at least 80% of its net assets in companies of any size that have paid consistently rising dividends.
</t>
    </r>
  </si>
  <si>
    <t>Unrealized Gains, Gains &amp; Expenses</t>
  </si>
  <si>
    <t>Cost per Ride (w/o depreciation&amp;rent)</t>
  </si>
  <si>
    <t>Medicaid Revenue per Medicaid Ride</t>
  </si>
  <si>
    <t>NYSDOH - Navigator Health Exchange Program</t>
  </si>
  <si>
    <t>NYSDOH - Tobacco-Free Program</t>
  </si>
  <si>
    <t>NYSDOH - Rural Health Network Program</t>
  </si>
  <si>
    <t xml:space="preserve">Donations </t>
  </si>
  <si>
    <t>Projections for the Years Ending December 31, 2019 and 2020</t>
  </si>
  <si>
    <t>Foundation Revenue-Foundation for Community Health</t>
  </si>
  <si>
    <t>Foundation Revenue-Dyson Foundation</t>
  </si>
  <si>
    <t>2019 vs. 2020</t>
  </si>
  <si>
    <t>Gain (Loss) on Sale of Vehicle- Ford Focus</t>
  </si>
  <si>
    <t>Telephone &amp; Internet</t>
  </si>
  <si>
    <t xml:space="preserve">General Operating Support (24-Months) </t>
  </si>
  <si>
    <t>Transportation-Vehicle &amp; Communication Upgrade</t>
  </si>
  <si>
    <r>
      <rPr>
        <b/>
        <sz val="11"/>
        <color theme="1"/>
        <rFont val="Calibri"/>
        <family val="2"/>
        <scheme val="minor"/>
      </rPr>
      <t>FLQL</t>
    </r>
    <r>
      <rPr>
        <sz val="11"/>
        <color theme="1"/>
        <rFont val="Calibri"/>
        <family val="2"/>
        <scheme val="minor"/>
      </rPr>
      <t xml:space="preserve">-Franklin LibertyQ US Equity ETF- Tracks a multi-factor index that aims to reduce market volatility and deliver a smoother investor experience over the long term. Seeks to provide investment results that closely correspond, before fees and expenses, to the performance of its corresponding underlying index, LibertyQ U.S. Large Cap Equity Index Pursues low downside capture and strong risk-adjusted returns over the long term. The index methodology employs a rules-based, custom multi-factor approach providing exposure to four well known factors: 50% Quality, 30% Value, 10% Momentum and 10% Low Volatility
</t>
    </r>
  </si>
  <si>
    <t>FLQL</t>
  </si>
  <si>
    <t>Diff Transportation CMH &amp; Circulation &amp; Other</t>
  </si>
  <si>
    <t>CoCo Dept of Health</t>
  </si>
  <si>
    <t>Grants - New York State - Assoc for Rural Health</t>
  </si>
  <si>
    <t>December'19 vs. '18</t>
  </si>
  <si>
    <t>Foundation Revenue-RipVan Winkle Foundation</t>
  </si>
  <si>
    <t>Credit Sales</t>
  </si>
  <si>
    <t>Ending Balance at 12/31/2019</t>
  </si>
  <si>
    <t>Rip Van Winkle Foundation</t>
  </si>
  <si>
    <r>
      <t>è</t>
    </r>
    <r>
      <rPr>
        <sz val="12"/>
        <color theme="1"/>
        <rFont val="Times New Roman"/>
        <family val="1"/>
      </rPr>
      <t xml:space="preserve"> </t>
    </r>
    <r>
      <rPr>
        <b/>
        <sz val="12"/>
        <color theme="1"/>
        <rFont val="Times New Roman"/>
        <family val="1"/>
      </rPr>
      <t>Accrued Expenses</t>
    </r>
    <r>
      <rPr>
        <sz val="12"/>
        <color theme="1"/>
        <rFont val="Calibri"/>
        <family val="2"/>
      </rPr>
      <t xml:space="preserve"> - As of December 31, 2019, we have accrued $21,664 for the agency's 2019 cost for the pension plan. The agency 401(k) employer contribution amount of $18,814 and third party administration of pension plan in the amount of $2,850</t>
    </r>
  </si>
  <si>
    <t>CC Dept of Health: HEALing Community Study</t>
  </si>
  <si>
    <t xml:space="preserve">Senior Transportation Services - 2020 </t>
  </si>
  <si>
    <r>
      <t xml:space="preserve">Transportation Services (2020)  </t>
    </r>
    <r>
      <rPr>
        <b/>
        <sz val="11"/>
        <color theme="1"/>
        <rFont val="Arial"/>
        <family val="2"/>
      </rPr>
      <t xml:space="preserve"> </t>
    </r>
  </si>
  <si>
    <t xml:space="preserve">Rip Van Winkle Foundation </t>
  </si>
  <si>
    <t>None</t>
  </si>
  <si>
    <t>Dept. of Health</t>
  </si>
  <si>
    <t>TOTAL  $</t>
  </si>
  <si>
    <t>Interest Expense on PPP Loan</t>
  </si>
  <si>
    <t>PPP Loan Liability</t>
  </si>
  <si>
    <t>Actual Revenue and Expenses            (Jan'20 to June'20)</t>
  </si>
  <si>
    <t>Budgeted Revenue and Expenses       (July'20 to Dec'20)</t>
  </si>
  <si>
    <t>Foundation Revenue-Triskeles Foundation</t>
  </si>
  <si>
    <t>Updated Operating Budget</t>
  </si>
  <si>
    <t xml:space="preserve">For the Year Ended December 31, 2020 </t>
  </si>
  <si>
    <t>Updated Operating Budget - December 31, 2020</t>
  </si>
  <si>
    <t>Original Operating Budget - December 31, 2020</t>
  </si>
  <si>
    <t>Variance &amp; %</t>
  </si>
  <si>
    <t xml:space="preserve">Foundation Revenue - </t>
  </si>
  <si>
    <t>Berkshire Taconic Foundation</t>
  </si>
  <si>
    <t>Revenue-Triskeles Foundation</t>
  </si>
  <si>
    <t>Miscellaneous Revenue</t>
  </si>
  <si>
    <t>Change in Unrestricted Net Assets Before Depreciation</t>
  </si>
  <si>
    <t>Change in Unrestricted Net Assets After Depreciation</t>
  </si>
  <si>
    <t>Assumptions:</t>
  </si>
  <si>
    <t xml:space="preserve">--&gt; Until we receive guidance, our PPP loan in the amount of $197.4K is being treated as a liability. </t>
  </si>
  <si>
    <t>--&gt; While always a chance our Navigator (8/1/20-7/31/21) budget will be reduced, we assumed budget will remain at current $330K level.</t>
  </si>
  <si>
    <t xml:space="preserve">--&gt; We assume going forward there will be a small increase in Medicaid revenue when compared to the first three months of the COVID-19 period. </t>
  </si>
  <si>
    <t>--&gt; Assumptions that current open positions will not be filled until the start of 2021 year.</t>
  </si>
  <si>
    <t>--&gt; All grants receivables deemed collectable and no allowance for uncollectables/bad debt.</t>
  </si>
  <si>
    <t>--&gt; We expect RHN's (1/20-12/20) &amp; Tobacco's (7/1/20-6/30/21) budget to be cut, updated operating budget assumes a 34% cut in budget in each program</t>
  </si>
  <si>
    <r>
      <t xml:space="preserve">Greene County DSS </t>
    </r>
    <r>
      <rPr>
        <sz val="10"/>
        <color theme="1"/>
        <rFont val="Arial"/>
        <family val="2"/>
      </rPr>
      <t xml:space="preserve">(HEAP Program ) </t>
    </r>
  </si>
  <si>
    <t xml:space="preserve">Transportation Clients  </t>
  </si>
  <si>
    <t xml:space="preserve">Ancram/Copake Prescription Access (2020/2021) </t>
  </si>
  <si>
    <r>
      <t>è</t>
    </r>
    <r>
      <rPr>
        <b/>
        <sz val="12"/>
        <color theme="1"/>
        <rFont val="Times New Roman"/>
        <family val="1"/>
      </rPr>
      <t xml:space="preserve"> Equipment, Furniture &amp; Vehicles</t>
    </r>
    <r>
      <rPr>
        <sz val="12"/>
        <color theme="1"/>
        <rFont val="Calibri"/>
        <family val="2"/>
      </rPr>
      <t xml:space="preserve"> </t>
    </r>
  </si>
  <si>
    <t xml:space="preserve">Columbia County </t>
  </si>
  <si>
    <r>
      <t>HEALing Communities Study -</t>
    </r>
    <r>
      <rPr>
        <sz val="10"/>
        <color theme="1"/>
        <rFont val="Arial"/>
        <family val="2"/>
      </rPr>
      <t>Community Impact Dollars</t>
    </r>
  </si>
  <si>
    <t>For the Year Ended December 31, 2021</t>
  </si>
  <si>
    <t>Actual Revenue and Expenses            (Jan'21 to April'21)</t>
  </si>
  <si>
    <t>Budgeted Revenue and Expenses       (May'21 to Dec'21)</t>
  </si>
  <si>
    <t>Updated Operating Budget -        December 31, 2021</t>
  </si>
  <si>
    <t>Community Foundations of the Hudson Valley</t>
  </si>
  <si>
    <t>--Medicaid revenue will increase at the start of the 3rd quarter due to the opening of MHA/PROS opening back up</t>
  </si>
  <si>
    <t>--Addition of new fulltime staff members: Tobacco Youth Engagement Coordinator + NY Connects I&amp;AS after June 1st</t>
  </si>
  <si>
    <t>--Existing DOH and OFA contracts are renewed at current amounts.</t>
  </si>
  <si>
    <t>Original Operating Budget -             December 31, 2021</t>
  </si>
  <si>
    <t>Coarc Strategic Planning</t>
  </si>
  <si>
    <t>CC Dept of Health: HEALing Community Impact $</t>
  </si>
  <si>
    <t>Total OFA-NY Connects</t>
  </si>
  <si>
    <t>Agreement</t>
  </si>
  <si>
    <t>QuickBooks AR at 08/31/2021</t>
  </si>
  <si>
    <t>Foundation Revenue - FCH, Dyson, Rip Van Winkle</t>
  </si>
  <si>
    <t xml:space="preserve">General Operating Support </t>
  </si>
  <si>
    <t>HEALing Communities Impact Dollars -  2021 Voucher</t>
  </si>
  <si>
    <t>Columbia County BOS 2022 Budget Appropriation</t>
  </si>
  <si>
    <t xml:space="preserve">Add Back Deprecation </t>
  </si>
  <si>
    <t xml:space="preserve">Senior Transportation Services - 2022 </t>
  </si>
  <si>
    <t>HEALing Communities Study  - 2022</t>
  </si>
  <si>
    <r>
      <t>Transportation Services</t>
    </r>
    <r>
      <rPr>
        <b/>
        <sz val="11"/>
        <color rgb="FFFF0000"/>
        <rFont val="Arial"/>
        <family val="2"/>
      </rPr>
      <t xml:space="preserve"> </t>
    </r>
  </si>
  <si>
    <r>
      <t>Transportation Services (2022)</t>
    </r>
    <r>
      <rPr>
        <b/>
        <sz val="11"/>
        <color rgb="FFFF0000"/>
        <rFont val="Arial"/>
        <family val="2"/>
      </rPr>
      <t xml:space="preserve">  </t>
    </r>
  </si>
  <si>
    <t xml:space="preserve">County Government - 2022 </t>
  </si>
  <si>
    <t xml:space="preserve">Columbia Memorial Hospital </t>
  </si>
  <si>
    <t>Greene County Public Health Department</t>
  </si>
  <si>
    <t>RHN Program - Jan - Mar 2022 Voucher</t>
  </si>
  <si>
    <t>Greene County Public Health</t>
  </si>
  <si>
    <t>Grants Receivable</t>
  </si>
  <si>
    <t>Transportation - Other: CMH, Greene Cty</t>
  </si>
  <si>
    <t>NYSDOH 07/22 to 06/23 - Year#4 of 5</t>
  </si>
  <si>
    <t>NYSDOH 08/22 to 07/23 - Year#4 of 5</t>
  </si>
  <si>
    <t>Total funds pending on NYS SFS Website</t>
  </si>
  <si>
    <t>Vehicle Lease Liability</t>
  </si>
  <si>
    <t>Depreciation &amp; Amortization</t>
  </si>
  <si>
    <t>Interest Expense</t>
  </si>
  <si>
    <t>Depreciation &amp; Amortization -Vehicles</t>
  </si>
  <si>
    <t>Agency</t>
  </si>
  <si>
    <t>Enterprise Fleet</t>
  </si>
  <si>
    <r>
      <t xml:space="preserve">Greene County DSS </t>
    </r>
    <r>
      <rPr>
        <sz val="10"/>
        <color theme="1"/>
        <rFont val="Arial"/>
        <family val="2"/>
      </rPr>
      <t>(HEAP Program )</t>
    </r>
    <r>
      <rPr>
        <b/>
        <sz val="10"/>
        <color rgb="FFFF0000"/>
        <rFont val="Arial"/>
        <family val="2"/>
      </rPr>
      <t xml:space="preserve">  </t>
    </r>
  </si>
  <si>
    <t xml:space="preserve">General Operating Support (12-Months) </t>
  </si>
  <si>
    <t>Operating Budget</t>
  </si>
  <si>
    <t>For the Year Ended December 31, 2023</t>
  </si>
  <si>
    <t>Operating Budget - December 31, 2023</t>
  </si>
  <si>
    <t xml:space="preserve"> Projections - December 31, 2022</t>
  </si>
  <si>
    <t>2023 Operating Budget Assumptions</t>
  </si>
  <si>
    <t>General:</t>
  </si>
  <si>
    <t>NYS DOH existing contracts remain at the current contracted budget amount and we collect 100% of what we expend</t>
  </si>
  <si>
    <t>CARTS related:</t>
  </si>
  <si>
    <t>Program expenses increase due to wage increases for drivers and office staff, lease arrangement with Enterprise Fleet Management.</t>
  </si>
  <si>
    <t>Medicaid revenue for 2023 stays consistent with revenue levels experienced in 2022 year.</t>
  </si>
  <si>
    <t>For the Years Ended December 31, 2018, 2019, 2020, 2021, 2022</t>
  </si>
  <si>
    <t>Foundation Revenue</t>
  </si>
  <si>
    <t>Less: Revenue for New Vehicles</t>
  </si>
  <si>
    <t>Total Revenue after new Vehicles</t>
  </si>
  <si>
    <t>Variable</t>
  </si>
  <si>
    <t>Number of Laten miles for period</t>
  </si>
  <si>
    <t>Number of Laten miles per ride</t>
  </si>
  <si>
    <t>Number of vehicle miles for period</t>
  </si>
  <si>
    <t>Average miles per ride</t>
  </si>
  <si>
    <t>Breakeven point based upon laten miles</t>
  </si>
  <si>
    <t>Variable Costs</t>
  </si>
  <si>
    <t>Fixed Cost</t>
  </si>
  <si>
    <t>Depreciation &amp; Rent</t>
  </si>
  <si>
    <t>Total Expenditures</t>
  </si>
  <si>
    <t>Laden Miles</t>
  </si>
  <si>
    <t>Mileage Rate (Variable $ / Laten Miles)</t>
  </si>
  <si>
    <t>Base Rate (Fixed $ / # of Rides)</t>
  </si>
  <si>
    <t xml:space="preserve">In-Kind Rent </t>
  </si>
  <si>
    <t>Total  Revenue</t>
  </si>
  <si>
    <t>Actual number of Rides for Year</t>
  </si>
  <si>
    <t>Breakeven point  at number of Rides</t>
  </si>
  <si>
    <t>Increase/Decrease in the # of Rides</t>
  </si>
  <si>
    <t>Breakeven point based upon vehicle miles</t>
  </si>
  <si>
    <t>Actual Vehicle Miles</t>
  </si>
  <si>
    <t>Mileage Rate (Variable $ / Vehicle Miles)</t>
  </si>
  <si>
    <t>New Base Rate (Fixed $ / # of Rides)</t>
  </si>
  <si>
    <t>Variable Expenses</t>
  </si>
  <si>
    <t>Transportation Program Assistant (Part-time) hired Jan 01, 2023</t>
  </si>
  <si>
    <t xml:space="preserve"> RHN Program Coordinator (Full-time) hired Jan 01, 2023</t>
  </si>
  <si>
    <t>Director of Development &amp; Communication (Full-time) hired March 01, 2023</t>
  </si>
  <si>
    <t>Revenue from Foundations consist of the following</t>
  </si>
  <si>
    <t xml:space="preserve">Rip Van Winkle Foundation - $50,000 </t>
  </si>
  <si>
    <t>Small $3,000 increase in individual/business donations due to work completed by new Director of Development &amp; Communication position</t>
  </si>
  <si>
    <t>Dyson Foundation - $25,000 of $50,000 operating support</t>
  </si>
  <si>
    <t>Various County Departments -$20,000</t>
  </si>
  <si>
    <t>No expected increase in contributions from Columbia County. Revenue consist with 2022 levels</t>
  </si>
  <si>
    <t>Columbia County for Lobby Receptionist &amp; CARTS - $52,000</t>
  </si>
  <si>
    <t>Foundation of Community Health - $27,500 (reoccurring annually) for CARTS</t>
  </si>
  <si>
    <t>Foundation of Community Health - $28,000 of $150,00 from operating support</t>
  </si>
  <si>
    <t>Annual subcontract thru Office for the Aging for senior transportation (+60) services increases to $47,500 from $46,000</t>
  </si>
  <si>
    <t>Annual subcontract thru Dept of Human Services for transportation services remains consistent with the 2022 amount of $18,000</t>
  </si>
  <si>
    <t>Average hourly rate for drivers wages increases to $15.75/hr from $15.25/hr. Total driver wages &amp; fringe increase by $50,000 with driver's hours increasing by 2,300 hrs for a total of 15,400 hrs. Increase offset by Rip Van Winkle $50K donation.</t>
  </si>
  <si>
    <t>Three new positions for the 2023 year are hired with no other changes to current staffing levels</t>
  </si>
  <si>
    <t xml:space="preserve">Fringe benefits like health &amp; dental insurance are based upon actual 2023 renewal rates. </t>
  </si>
  <si>
    <t>No changes to existing calculations for discretionary 401(k) contributions from Agency that employee receive at year end. Estimated discretionary 401(k) contribution amount for 2023 year at $25,200</t>
  </si>
  <si>
    <t>The HEALing Community Study Program thru the Dept of Health ends March 31, 2023 and the related Impact Dollars Program ended a year earlier on March 31, 2022.</t>
  </si>
  <si>
    <t>Other existing contracts/subcontracts/agreements remain at current budget amounts, Like OFA: NY Connects, OFA: MIPPA, and Greene County DSS - HEAP</t>
  </si>
  <si>
    <t>The value of the Agency's investment decreases by $1,800 to $385K</t>
  </si>
  <si>
    <t xml:space="preserve">Small $3,000 decrease in support from RHN Program for vehicle expenses to $4,000. </t>
  </si>
  <si>
    <t>Immaterial CARTS revenue from service agreements with CMH and Greene County Public Health</t>
  </si>
  <si>
    <t>NY Connects ADRC         11/22 to 09/23</t>
  </si>
  <si>
    <t xml:space="preserve">Greene County - Human Services - Transportation </t>
  </si>
  <si>
    <t xml:space="preserve">Tobacco Free Communities Grant - Yr#4 of 5 </t>
  </si>
  <si>
    <t xml:space="preserve">Senior Transportation Services - 2023 </t>
  </si>
  <si>
    <t xml:space="preserve">HEALing Communities Study  - 2023 </t>
  </si>
  <si>
    <r>
      <t>Transportation Services (2023)</t>
    </r>
    <r>
      <rPr>
        <b/>
        <sz val="11"/>
        <color rgb="FFFF0000"/>
        <rFont val="Arial"/>
        <family val="2"/>
      </rPr>
      <t xml:space="preserve">  </t>
    </r>
  </si>
  <si>
    <t>Columbia County BOS 2023 Budget Appropriation</t>
  </si>
  <si>
    <t>Columbia County Departments 2023 Donations (CARTS)</t>
  </si>
  <si>
    <t>.</t>
  </si>
  <si>
    <t>Greene County Public Health Services</t>
  </si>
  <si>
    <t>Transportation Billing Software-Kinetik</t>
  </si>
  <si>
    <t>NYSDOH 01/23 to 12/23 Yr#5 (Quarterly Voucher)</t>
  </si>
  <si>
    <t>Greene County -Dept of Social Services -</t>
  </si>
  <si>
    <t xml:space="preserve">Ancram/Copake Prescription Access (2023) </t>
  </si>
  <si>
    <t xml:space="preserve">County Government - 2023 </t>
  </si>
  <si>
    <t>2018 Ford Taurus</t>
  </si>
  <si>
    <t>2012 Ford Fusion</t>
  </si>
  <si>
    <t>2014 Dodge Grand Caravan</t>
  </si>
  <si>
    <t>2017 Dodge Grand Caravan</t>
  </si>
  <si>
    <t>2013 Dodge Grand Caravan</t>
  </si>
  <si>
    <t>2017 Ford Taurus</t>
  </si>
  <si>
    <t>Our Gain</t>
  </si>
  <si>
    <t>NY Connects E&amp;EP         04/23 to 03/24</t>
  </si>
  <si>
    <t>HEALing Comm Study contract ended March 2023</t>
  </si>
  <si>
    <t>Transportation Software Leases</t>
  </si>
  <si>
    <t>OFA: MIPPA</t>
  </si>
  <si>
    <t>Greene County -Dept of Human Services</t>
  </si>
  <si>
    <t xml:space="preserve">Tobacco Free Communities Grant - Yr#5 of 5 </t>
  </si>
  <si>
    <t>Foundations</t>
  </si>
  <si>
    <t>Foundation Revenue-The Home for the Aged</t>
  </si>
  <si>
    <t>Greene County - Dept Human Services</t>
  </si>
  <si>
    <t>Less: Lease Payments</t>
  </si>
  <si>
    <t>Actual Expenses</t>
  </si>
  <si>
    <t>Projected Expenses</t>
  </si>
  <si>
    <t>Six Months</t>
  </si>
  <si>
    <t>Jan - June 2023</t>
  </si>
  <si>
    <t>July - Dec 2023</t>
  </si>
  <si>
    <t>Updated Budget-Transportation</t>
  </si>
  <si>
    <t>For the Years Ended December 31, 2023</t>
  </si>
  <si>
    <t>Updated Budget</t>
  </si>
  <si>
    <t>Twelve Months</t>
  </si>
  <si>
    <t>Jan - Dec 2023</t>
  </si>
  <si>
    <t>Updated 2023 Transportation Budget</t>
  </si>
  <si>
    <t>Orginial Budget</t>
  </si>
  <si>
    <t>Fund Raising Event-Net</t>
  </si>
  <si>
    <t>Orginial Assumptions</t>
  </si>
  <si>
    <t>Supplies</t>
  </si>
  <si>
    <t>Contract Professional - Sydney Keiler</t>
  </si>
  <si>
    <t>NYSDOH 07/23 to 06/24 - Year#5 of 5</t>
  </si>
  <si>
    <t>NYSDOH 08/23 to 07/24 - Year#5 of 5</t>
  </si>
  <si>
    <t>CMH - Comm Heath Plan 1st Qtr 2023</t>
  </si>
  <si>
    <t>In Person Assistors &amp; Navigators-Yr#5 of 6</t>
  </si>
  <si>
    <t>In Person Assistors &amp; Navigators- Yr#4 of 6</t>
  </si>
  <si>
    <t xml:space="preserve">Transportation Fundraiser </t>
  </si>
  <si>
    <t>Fundraising Event-Net</t>
  </si>
  <si>
    <r>
      <t>è</t>
    </r>
    <r>
      <rPr>
        <sz val="12"/>
        <color theme="1"/>
        <rFont val="Times New Roman"/>
        <family val="1"/>
      </rPr>
      <t xml:space="preserve"> </t>
    </r>
    <r>
      <rPr>
        <b/>
        <sz val="12"/>
        <color theme="1"/>
        <rFont val="Times New Roman"/>
        <family val="1"/>
      </rPr>
      <t>Line of Credit</t>
    </r>
    <r>
      <rPr>
        <sz val="12"/>
        <color theme="1"/>
        <rFont val="Calibri"/>
        <family val="2"/>
      </rPr>
      <t xml:space="preserve"> - Received notification from The Bank of Greene County. Bank renewed our $100,000 line for one year until August 1, 2024.  </t>
    </r>
  </si>
  <si>
    <t>Rip Van Winkle Foundation - CARTS</t>
  </si>
  <si>
    <t>The Home for the Aged - CARTS</t>
  </si>
  <si>
    <t>Statement of Activities-Fundraising Event of September 21, 2023</t>
  </si>
  <si>
    <t>Ticket Sales</t>
  </si>
  <si>
    <t>Total Revenue from Fundraiser</t>
  </si>
  <si>
    <t>Revenue</t>
  </si>
  <si>
    <t>Facility rental</t>
  </si>
  <si>
    <t>Catering</t>
  </si>
  <si>
    <t>Paypal processing fees</t>
  </si>
  <si>
    <t>Income from Fundraiser Event</t>
  </si>
  <si>
    <t>Sponsorships (committed)</t>
  </si>
  <si>
    <t>Rural Health Network - 3rd Qrt Voucher</t>
  </si>
  <si>
    <r>
      <t>Transportation Services (2024)</t>
    </r>
    <r>
      <rPr>
        <b/>
        <sz val="11"/>
        <color rgb="FFFF0000"/>
        <rFont val="Arial"/>
        <family val="2"/>
      </rPr>
      <t xml:space="preserve"> </t>
    </r>
  </si>
  <si>
    <t>The Home of the Aged (New, $50K for 2023 &amp; 2024 Years)  (CARTS)</t>
  </si>
  <si>
    <t>Rural Health Network Program- Yr#5 of 6</t>
  </si>
  <si>
    <t xml:space="preserve">General Operating Support  (36-Months) </t>
  </si>
  <si>
    <t>For the Year Ended December 31, 2024</t>
  </si>
  <si>
    <t>Operating Budget - December 31, 2024</t>
  </si>
  <si>
    <t xml:space="preserve"> Projections - December 31, 2023</t>
  </si>
  <si>
    <t>Fundraising Events-Net</t>
  </si>
  <si>
    <t>Gain (Loss) on Investments</t>
  </si>
  <si>
    <t>2024 Operating Budget Assumptions</t>
  </si>
  <si>
    <t>Transportation Program Assistant (Full-time) hired Dec 01, 2023</t>
  </si>
  <si>
    <t>Director of Business Operations (Full-Time) hired April 01, 2024</t>
  </si>
  <si>
    <t xml:space="preserve">Fringe benefits like health &amp; dental insurance are based upon actual 2024 renewal rates. </t>
  </si>
  <si>
    <t>No changes to existing calculations for discretionary 401(k) contributions from Agency that employee receive at year end. Estimated discretionary 401(k) contribution amount for 2024 year at $25,000</t>
  </si>
  <si>
    <t>The value of the Agency's investment increases by $3,000 to $399K</t>
  </si>
  <si>
    <t>Two new positions for the 2024 year are hired with no other changes to current staffing levels</t>
  </si>
  <si>
    <t xml:space="preserve">Rural Health Network Program- Yr#6 of 6 </t>
  </si>
  <si>
    <r>
      <t xml:space="preserve">NYS Assocaition for Rural Health </t>
    </r>
    <r>
      <rPr>
        <b/>
        <sz val="11"/>
        <color rgb="FFFF0000"/>
        <rFont val="Arial"/>
        <family val="2"/>
      </rPr>
      <t>(NEW)</t>
    </r>
  </si>
  <si>
    <t>Legislative Grant</t>
  </si>
  <si>
    <t>Mother Cabrini Health Foundation</t>
  </si>
  <si>
    <t>Columbia County BOS 2024 Budget Appropriation</t>
  </si>
  <si>
    <t>Columbia County Departments 2024 Donations (CARTS)</t>
  </si>
  <si>
    <t xml:space="preserve">County Departments - 2023 </t>
  </si>
  <si>
    <t>Fundraiser - Annual Reconciliation Event</t>
  </si>
  <si>
    <t>Total Grant Receivable - December 2023</t>
  </si>
  <si>
    <t>2024 Transportation Support</t>
  </si>
  <si>
    <t>February</t>
  </si>
  <si>
    <t>NYSDOH 01/24 to 12/24 Yr#6 (Quarterly Voucher)</t>
  </si>
  <si>
    <t>The Home for the Aged-Pledge (expect Sept'24)</t>
  </si>
  <si>
    <t>Columbia County - BOS Appropriation</t>
  </si>
  <si>
    <r>
      <t>Medicare Improvements-Patients &amp; Providers (MIPPA)</t>
    </r>
    <r>
      <rPr>
        <b/>
        <sz val="10"/>
        <color rgb="FFFF0000"/>
        <rFont val="Arial"/>
        <family val="2"/>
      </rPr>
      <t xml:space="preserve"> </t>
    </r>
  </si>
  <si>
    <t xml:space="preserve">Senior Transportation Services - 2024 </t>
  </si>
  <si>
    <t xml:space="preserve">Ancram/Copake Prescription Access (2024) </t>
  </si>
  <si>
    <r>
      <t xml:space="preserve">Transportation Services (2024)  </t>
    </r>
    <r>
      <rPr>
        <b/>
        <sz val="11"/>
        <color rgb="FFFF0000"/>
        <rFont val="Arial"/>
        <family val="2"/>
      </rPr>
      <t xml:space="preserve"> </t>
    </r>
  </si>
  <si>
    <t xml:space="preserve">County Government - 2024 </t>
  </si>
  <si>
    <t xml:space="preserve">County Departments - 2024 </t>
  </si>
  <si>
    <t>Collaborative Community Health Planning Jan'23-Dec'24</t>
  </si>
  <si>
    <t>Balance as of 01/01/2024</t>
  </si>
  <si>
    <t xml:space="preserve">For the Years Ended December 31, 2023 </t>
  </si>
  <si>
    <t xml:space="preserve">Foundation Revenue-Mother Cabrini </t>
  </si>
  <si>
    <t>Deposit of 5310 Vehicle</t>
  </si>
  <si>
    <t>NYSDOT</t>
  </si>
  <si>
    <t>2024- 2026 Operating Support</t>
  </si>
  <si>
    <t>Community Health Improvement Plan (CHIP)</t>
  </si>
  <si>
    <t>Grants Receivable Aging Summary as of April 30, 2024</t>
  </si>
  <si>
    <t>April</t>
  </si>
  <si>
    <t>March</t>
  </si>
  <si>
    <t>Navigator Program - March 2024 Voucher</t>
  </si>
  <si>
    <t>Tobacco  Program - March 2024 Voucher</t>
  </si>
  <si>
    <t>OFA: Senior Transportation - March 2024 Voucher</t>
  </si>
  <si>
    <t>OFA:NY Connects  - March 2024 Voucher</t>
  </si>
  <si>
    <t>Tobacco Yr#4 - March 2023 Voucher</t>
  </si>
  <si>
    <t>Tobacco Program - March 2023 Voucher</t>
  </si>
  <si>
    <t>Navigator Program - March 2023 Voucher</t>
  </si>
  <si>
    <t>Tobacco  Program - February 2023 Voucher</t>
  </si>
  <si>
    <t>OFA: NY Connects - April - February 2023 Vouchers</t>
  </si>
  <si>
    <t>Tobacco Yr#4 - February 2023 Voucher</t>
  </si>
  <si>
    <t>Navigator Yr#4-February 2023 Voucher</t>
  </si>
  <si>
    <t>Jan &amp; Older</t>
  </si>
  <si>
    <t>Grants Receivable at 4/30/2024</t>
  </si>
  <si>
    <t>Payments Received After April 30, 2024</t>
  </si>
  <si>
    <t>CoCo Dept of Health-Comm Health Improve Plan</t>
  </si>
  <si>
    <t>RHN Program - 1st Quarter 2024 Voucher</t>
  </si>
  <si>
    <t>Columbia County - BOS Appropriation - Payment#2 of 2</t>
  </si>
  <si>
    <t>Columbia County- Dept of Human Services (CARTS) - 1st Quarter</t>
  </si>
  <si>
    <t>Columbia County - Dept of Health -1st Quarter</t>
  </si>
  <si>
    <t>Greene County Public Health Dept</t>
  </si>
  <si>
    <t>Navigator Program - February 2024 Voucher</t>
  </si>
  <si>
    <t>Total AR Payments Received After April 30, 2024</t>
  </si>
  <si>
    <t>April 29th AR Balance at May 27, 2024</t>
  </si>
  <si>
    <t>NY Connects E&amp;EP         04/24 to 03/25</t>
  </si>
  <si>
    <t>MIPPA                              04/24 to 8/24</t>
  </si>
  <si>
    <t>Tobacco Yr#5 - March 2024 Voucher</t>
  </si>
  <si>
    <t>As of April 30, 2024</t>
  </si>
  <si>
    <t>T.B.D</t>
  </si>
  <si>
    <t>April'24 vs.'23</t>
  </si>
  <si>
    <t>Four Months Ended April 30, 2024 and 2023</t>
  </si>
  <si>
    <t>Fundraising Event (5310 + Annual Recognition)</t>
  </si>
  <si>
    <t>Addition of Mother Cabrini for 2024 Yr</t>
  </si>
  <si>
    <r>
      <t>è</t>
    </r>
    <r>
      <rPr>
        <b/>
        <sz val="12"/>
        <color theme="1"/>
        <rFont val="Times New Roman"/>
        <family val="1"/>
      </rPr>
      <t xml:space="preserve"> Cash</t>
    </r>
    <r>
      <rPr>
        <sz val="12"/>
        <color theme="1"/>
        <rFont val="Calibri"/>
        <family val="2"/>
      </rPr>
      <t xml:space="preserve"> -  Cash balance in the operating checking account started the 2024 year off with $662K and ended in the month of April 2024 with $557K. The low cash balance on February 12, 2024, was $544K &amp; and the high cash balance on January 1, 2024, was $662K. The average daily balance for the 2024 &amp; 2023 years were $592K and $411K, respectively. </t>
    </r>
  </si>
  <si>
    <r>
      <t>è</t>
    </r>
    <r>
      <rPr>
        <sz val="12"/>
        <color theme="1"/>
        <rFont val="Times New Roman"/>
        <family val="1"/>
      </rPr>
      <t xml:space="preserve"> </t>
    </r>
    <r>
      <rPr>
        <b/>
        <sz val="12"/>
        <color theme="1"/>
        <rFont val="Calibri"/>
        <family val="2"/>
      </rPr>
      <t xml:space="preserve">Grant Receivable - </t>
    </r>
    <r>
      <rPr>
        <sz val="12"/>
        <color theme="1"/>
        <rFont val="Calibri"/>
        <family val="2"/>
      </rPr>
      <t xml:space="preserve">  As of April 30, 2024, our Grant Receivable is $319K. We expect to collect on all receivables.  </t>
    </r>
  </si>
  <si>
    <r>
      <t>è</t>
    </r>
    <r>
      <rPr>
        <b/>
        <sz val="12"/>
        <color theme="1"/>
        <rFont val="Times New Roman"/>
        <family val="1"/>
      </rPr>
      <t xml:space="preserve"> Investment - North Country Financial Group </t>
    </r>
    <r>
      <rPr>
        <sz val="12"/>
        <color theme="1"/>
        <rFont val="Calibri"/>
        <family val="2"/>
      </rPr>
      <t xml:space="preserve"> - As of April 30, 2024, the investment account value is $451K. Initial investment during the month of March 2016 was $152K. The change in value for the 2024 year is an increase of $17K. </t>
    </r>
  </si>
  <si>
    <r>
      <t>è</t>
    </r>
    <r>
      <rPr>
        <b/>
        <sz val="12"/>
        <color theme="1"/>
        <rFont val="Times New Roman"/>
        <family val="1"/>
      </rPr>
      <t xml:space="preserve">Accounts Payable - </t>
    </r>
    <r>
      <rPr>
        <sz val="12"/>
        <color theme="1"/>
        <rFont val="Calibri"/>
        <family val="2"/>
        <scheme val="minor"/>
      </rPr>
      <t xml:space="preserve">At April 30, 2024, accounts payable liability is $19K. All accounts payable liability is being paid timely within 28 days. </t>
    </r>
  </si>
  <si>
    <t>Ending Balance at April 30, 2024</t>
  </si>
  <si>
    <t xml:space="preserve">Mother Cabrini </t>
  </si>
  <si>
    <r>
      <t>è</t>
    </r>
    <r>
      <rPr>
        <sz val="12"/>
        <color theme="1"/>
        <rFont val="Times New Roman"/>
        <family val="1"/>
      </rPr>
      <t xml:space="preserve"> </t>
    </r>
    <r>
      <rPr>
        <b/>
        <sz val="12"/>
        <color theme="1"/>
        <rFont val="Calibri"/>
        <family val="2"/>
      </rPr>
      <t>Advance Funding Payable</t>
    </r>
    <r>
      <rPr>
        <sz val="12"/>
        <color theme="1"/>
        <rFont val="Calibri"/>
        <family val="2"/>
      </rPr>
      <t xml:space="preserve"> -  When the Agency receives a deposit for work to be done in the future, it recognizes it by debiting (increasing) cash and crediting (increasing) a deferred revenue account or "Advance Funding Payable"(a liability account). This transaction doesn't affect the income statement -- the deferred revenue is not really revenue per se. The deferred account functions like a holding place until services are provided. The entire transaction affects only balance sheet accounts. Once the service is provided, "real" revenue is recognized with an entry that debits (decreases) the deferred account and credits (increases) the revenue account. Program income received in advance consists of the following as of April 30, 2024,</t>
    </r>
  </si>
  <si>
    <r>
      <t>è</t>
    </r>
    <r>
      <rPr>
        <sz val="12"/>
        <color theme="1"/>
        <rFont val="Times New Roman"/>
        <family val="1"/>
      </rPr>
      <t xml:space="preserve"> </t>
    </r>
    <r>
      <rPr>
        <b/>
        <sz val="12"/>
        <color theme="1"/>
        <rFont val="Calibri"/>
        <family val="2"/>
      </rPr>
      <t>Donor Restrictions Funds</t>
    </r>
    <r>
      <rPr>
        <sz val="12"/>
        <color theme="1"/>
        <rFont val="Calibri"/>
        <family val="2"/>
      </rPr>
      <t xml:space="preserve"> - Donor restrictions funds are donated contributions that have only a one-sided economic benefit and are restricted to a specific period of time or set of conditions. To decrease this revenue, employ another account named Net Assets Released From Restrictions, which reports revenue.  Below donor restrictions funds represent donations to be used for the following specific program purpose as of April 30, 2024: </t>
    </r>
  </si>
  <si>
    <t>Decrease of $28K in Tobacco and $12K for Navigator Programs</t>
  </si>
  <si>
    <t>Only for Yr 2023, included an agreement for a Social Welfare Examiner</t>
  </si>
  <si>
    <t>2023 year had donations in memory of Bob LaCasse for +$3K</t>
  </si>
  <si>
    <t>For 2024, $20K decrease for Karen in Tobacco &amp; $24K for Lori T</t>
  </si>
  <si>
    <t>For 2024, $3K decrease for Tobacco &amp; $0.7K for Transportation</t>
  </si>
  <si>
    <t>For 2024, $3.3K decrease in RX for Dyson and no NY Connects ADRC in 2024 Yr</t>
  </si>
  <si>
    <t>In 2023 yr, $6.5K for Americorp and for 2024 yr, $14.7K for Sydney Keiler</t>
  </si>
  <si>
    <t>In 2023 yr., Tobacco had an additional $9K in advertising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</si>
</sst>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409]mmmm\ d\,\ yyyy;@"/>
    <numFmt numFmtId="167" formatCode="[$-409]mmmm\-yy;@"/>
    <numFmt numFmtId="168" formatCode="[$-F800]dddd\,\ mmmm\ dd\,\ yyyy"/>
    <numFmt numFmtId="169" formatCode="_(&quot;$&quot;* #,##0_);_(&quot;$&quot;* \(#,##0\);_(&quot;$&quot;* &quot;-&quot;??_);_(@_)"/>
    <numFmt numFmtId="170" formatCode="&quot;$&quot;#,##0"/>
    <numFmt numFmtId="171" formatCode="#,##0.0"/>
    <numFmt numFmtId="172" formatCode="#,##0.0_);\(#,##0.0\)"/>
    <numFmt numFmtId="173" formatCode="#,##0.0_);[Red]\(#,##0.0\)"/>
  </numFmts>
  <fonts count="76"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8"/>
      <color rgb="FF000000"/>
      <name val="Arial"/>
      <family val="2"/>
    </font>
    <font>
      <b/>
      <sz val="20"/>
      <color theme="1"/>
      <name val="Calibri"/>
      <family val="2"/>
      <scheme val="minor"/>
    </font>
    <font>
      <sz val="16"/>
      <color theme="1"/>
      <name val="Calibri"/>
      <family val="2"/>
      <scheme val="minor"/>
    </font>
    <font>
      <b/>
      <sz val="16"/>
      <color rgb="FF000000"/>
      <name val="Arial"/>
      <family val="2"/>
    </font>
    <font>
      <b/>
      <sz val="20"/>
      <color rgb="FF000000"/>
      <name val="Arial"/>
      <family val="2"/>
    </font>
    <font>
      <sz val="20"/>
      <color rgb="FF000000"/>
      <name val="Arial"/>
      <family val="2"/>
    </font>
    <font>
      <sz val="20"/>
      <color theme="1"/>
      <name val="Arial"/>
      <family val="2"/>
    </font>
    <font>
      <sz val="16"/>
      <color rgb="FF000000"/>
      <name val="Arial"/>
      <family val="2"/>
    </font>
    <font>
      <b/>
      <sz val="18"/>
      <color rgb="FF000000"/>
      <name val="Arial"/>
      <family val="2"/>
    </font>
    <font>
      <b/>
      <sz val="12"/>
      <color rgb="FF000000"/>
      <name val="Arial"/>
      <family val="2"/>
    </font>
    <font>
      <b/>
      <sz val="14"/>
      <color rgb="FF000000"/>
      <name val="Arial"/>
      <family val="2"/>
    </font>
    <font>
      <sz val="14"/>
      <color rgb="FF000000"/>
      <name val="Arial"/>
      <family val="2"/>
    </font>
    <font>
      <b/>
      <sz val="11"/>
      <color rgb="FF000000"/>
      <name val="Arial"/>
      <family val="2"/>
    </font>
    <font>
      <b/>
      <sz val="11"/>
      <color theme="1"/>
      <name val="Calibri"/>
      <family val="2"/>
      <scheme val="minor"/>
    </font>
    <font>
      <sz val="11"/>
      <color rgb="FF000000"/>
      <name val="Calibri"/>
      <family val="2"/>
      <scheme val="minor"/>
    </font>
    <font>
      <sz val="10"/>
      <color rgb="FF000000"/>
      <name val="Arial"/>
      <family val="2"/>
    </font>
    <font>
      <sz val="16"/>
      <color theme="1"/>
      <name val="Arial"/>
      <family val="2"/>
    </font>
    <font>
      <sz val="11"/>
      <color rgb="FF000000"/>
      <name val="Arial"/>
      <family val="2"/>
    </font>
    <font>
      <sz val="15"/>
      <color rgb="FF000000"/>
      <name val="Arial"/>
      <family val="2"/>
    </font>
    <font>
      <sz val="9"/>
      <color theme="1"/>
      <name val="Arial"/>
      <family val="2"/>
    </font>
    <font>
      <b/>
      <u/>
      <sz val="12"/>
      <color rgb="FF000000"/>
      <name val="Arial"/>
      <family val="2"/>
    </font>
    <font>
      <b/>
      <sz val="9"/>
      <color rgb="FF000000"/>
      <name val="Arial"/>
      <family val="2"/>
    </font>
    <font>
      <sz val="11"/>
      <name val="Arial"/>
      <family val="2"/>
    </font>
    <font>
      <sz val="9"/>
      <color rgb="FF000000"/>
      <name val="Arial"/>
      <family val="2"/>
    </font>
    <font>
      <b/>
      <sz val="12"/>
      <color theme="1"/>
      <name val="Calibri"/>
      <family val="2"/>
      <scheme val="minor"/>
    </font>
    <font>
      <b/>
      <sz val="18"/>
      <color theme="1"/>
      <name val="Calibri"/>
      <family val="2"/>
    </font>
    <font>
      <sz val="12"/>
      <color theme="1"/>
      <name val="Wingdings"/>
      <charset val="2"/>
    </font>
    <font>
      <sz val="12"/>
      <color theme="1"/>
      <name val="Times New Roman"/>
      <family val="1"/>
    </font>
    <font>
      <sz val="12"/>
      <color theme="1"/>
      <name val="Calibri"/>
      <family val="2"/>
    </font>
    <font>
      <b/>
      <sz val="12"/>
      <color theme="1"/>
      <name val="Calibri"/>
      <family val="2"/>
    </font>
    <font>
      <b/>
      <sz val="12"/>
      <color theme="1"/>
      <name val="Times New Roman"/>
      <family val="1"/>
    </font>
    <font>
      <sz val="9"/>
      <color indexed="81"/>
      <name val="Tahoma"/>
      <family val="2"/>
    </font>
    <font>
      <b/>
      <sz val="9"/>
      <color indexed="81"/>
      <name val="Tahoma"/>
      <family val="2"/>
    </font>
    <font>
      <sz val="12"/>
      <color theme="1"/>
      <name val="Wide Latin"/>
      <family val="1"/>
    </font>
    <font>
      <sz val="11"/>
      <color rgb="FF1F497D"/>
      <name val="Calibri"/>
      <family val="2"/>
    </font>
    <font>
      <sz val="12"/>
      <color rgb="FFFF0000"/>
      <name val="Arial"/>
      <family val="2"/>
    </font>
    <font>
      <sz val="12"/>
      <name val="Arial"/>
      <family val="2"/>
    </font>
    <font>
      <b/>
      <sz val="10"/>
      <color rgb="FF000000"/>
      <name val="Arial"/>
      <family val="2"/>
    </font>
    <font>
      <sz val="12"/>
      <color theme="1"/>
      <name val="Calibri"/>
      <family val="2"/>
      <scheme val="minor"/>
    </font>
    <font>
      <sz val="11"/>
      <color theme="1"/>
      <name val="Times New Roman"/>
      <family val="1"/>
    </font>
    <font>
      <sz val="9"/>
      <color theme="1"/>
      <name val="Times New Roman"/>
      <family val="1"/>
    </font>
    <font>
      <sz val="11"/>
      <color theme="1"/>
      <name val="Wingdings"/>
      <charset val="2"/>
    </font>
    <font>
      <sz val="8"/>
      <color theme="1"/>
      <name val="Arial"/>
      <family val="2"/>
    </font>
    <font>
      <sz val="8"/>
      <color rgb="FF000000"/>
      <name val="Arial"/>
      <family val="2"/>
    </font>
    <font>
      <sz val="9"/>
      <color theme="1"/>
      <name val="Calibri"/>
      <family val="2"/>
      <scheme val="minor"/>
    </font>
    <font>
      <sz val="16"/>
      <color rgb="FFFF0000"/>
      <name val="Arial"/>
      <family val="2"/>
    </font>
    <font>
      <sz val="16"/>
      <name val="Arial"/>
      <family val="2"/>
    </font>
    <font>
      <sz val="10"/>
      <color theme="1"/>
      <name val="Calibri"/>
      <family val="2"/>
      <scheme val="minor"/>
    </font>
    <font>
      <sz val="12"/>
      <color rgb="FF000000"/>
      <name val="Arial"/>
      <family val="2"/>
    </font>
    <font>
      <sz val="14"/>
      <color theme="1"/>
      <name val="Calibri"/>
      <family val="2"/>
      <scheme val="minor"/>
    </font>
    <font>
      <sz val="10"/>
      <color theme="1"/>
      <name val="Arial"/>
      <family val="2"/>
    </font>
    <font>
      <sz val="12"/>
      <color rgb="FF000000"/>
      <name val="Calibri"/>
      <family val="2"/>
      <scheme val="minor"/>
    </font>
    <font>
      <sz val="10"/>
      <color theme="1"/>
      <name val="Times New Roman"/>
      <family val="1"/>
    </font>
    <font>
      <b/>
      <sz val="16"/>
      <color theme="1"/>
      <name val="Calibri"/>
      <family val="2"/>
      <scheme val="minor"/>
    </font>
    <font>
      <b/>
      <sz val="10"/>
      <color theme="1"/>
      <name val="Calibri"/>
      <family val="2"/>
      <scheme val="minor"/>
    </font>
    <font>
      <b/>
      <sz val="14"/>
      <color theme="1"/>
      <name val="Calibri"/>
      <family val="2"/>
      <scheme val="minor"/>
    </font>
    <font>
      <sz val="11"/>
      <color rgb="FFFF0000"/>
      <name val="Calibri"/>
      <family val="2"/>
      <scheme val="minor"/>
    </font>
    <font>
      <b/>
      <sz val="10"/>
      <color theme="1"/>
      <name val="Arial"/>
      <family val="2"/>
    </font>
    <font>
      <b/>
      <sz val="11"/>
      <color rgb="FFFF0000"/>
      <name val="Arial"/>
      <family val="2"/>
    </font>
    <font>
      <b/>
      <sz val="14"/>
      <name val="Arial"/>
      <family val="2"/>
    </font>
    <font>
      <sz val="10"/>
      <name val="Arial"/>
      <family val="2"/>
    </font>
    <font>
      <b/>
      <sz val="10"/>
      <color rgb="FFFF0000"/>
      <name val="Arial"/>
      <family val="2"/>
    </font>
    <font>
      <b/>
      <sz val="16"/>
      <color rgb="FFFF0000"/>
      <name val="Arial"/>
      <family val="2"/>
    </font>
    <font>
      <b/>
      <sz val="16"/>
      <color theme="1"/>
      <name val="Arial"/>
      <family val="2"/>
    </font>
    <font>
      <sz val="15"/>
      <color theme="1"/>
      <name val="Arial"/>
      <family val="2"/>
    </font>
  </fonts>
  <fills count="1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81FFBA"/>
        <bgColor indexed="64"/>
      </patternFill>
    </fill>
    <fill>
      <patternFill patternType="solid">
        <fgColor rgb="FF00B0F0"/>
        <bgColor indexed="64"/>
      </patternFill>
    </fill>
    <fill>
      <patternFill patternType="solid">
        <fgColor rgb="FFFFC000"/>
        <bgColor indexed="64"/>
      </patternFill>
    </fill>
  </fills>
  <borders count="72">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right/>
      <top style="double">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style="thin">
        <color indexed="64"/>
      </top>
      <bottom/>
      <diagonal/>
    </border>
  </borders>
  <cellStyleXfs count="7">
    <xf numFmtId="0" fontId="0"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5" fillId="0" borderId="0" applyFont="0" applyFill="0" applyBorder="0" applyAlignment="0" applyProtection="0"/>
    <xf numFmtId="0" fontId="2" fillId="0" borderId="0"/>
    <xf numFmtId="0" fontId="71" fillId="0" borderId="0"/>
  </cellStyleXfs>
  <cellXfs count="858">
    <xf numFmtId="0" fontId="0" fillId="0" borderId="0" xfId="0"/>
    <xf numFmtId="0" fontId="0" fillId="0" borderId="2" xfId="0" applyBorder="1"/>
    <xf numFmtId="0" fontId="0" fillId="2" borderId="0" xfId="0" applyFill="1"/>
    <xf numFmtId="0" fontId="0" fillId="0" borderId="0" xfId="0" applyAlignment="1">
      <alignment horizontal="center"/>
    </xf>
    <xf numFmtId="14" fontId="0" fillId="0" borderId="0" xfId="0" applyNumberFormat="1" applyAlignment="1">
      <alignment horizontal="center"/>
    </xf>
    <xf numFmtId="164" fontId="0" fillId="0" borderId="0" xfId="0" applyNumberFormat="1" applyAlignment="1">
      <alignment horizontal="center"/>
    </xf>
    <xf numFmtId="0" fontId="0" fillId="0" borderId="1" xfId="0" applyBorder="1"/>
    <xf numFmtId="4" fontId="0" fillId="0" borderId="0" xfId="0" applyNumberFormat="1"/>
    <xf numFmtId="0" fontId="7" fillId="0" borderId="0" xfId="0" applyFont="1"/>
    <xf numFmtId="0" fontId="8" fillId="0" borderId="0" xfId="0" applyFont="1" applyAlignment="1">
      <alignment horizontal="center"/>
    </xf>
    <xf numFmtId="0" fontId="8" fillId="0" borderId="0" xfId="0" applyFont="1"/>
    <xf numFmtId="14" fontId="7" fillId="0" borderId="0" xfId="0" applyNumberFormat="1" applyFont="1" applyAlignment="1">
      <alignment horizontal="left"/>
    </xf>
    <xf numFmtId="0" fontId="9" fillId="3" borderId="3" xfId="0" applyFont="1" applyFill="1" applyBorder="1"/>
    <xf numFmtId="44" fontId="0" fillId="0" borderId="0" xfId="1" applyFont="1" applyFill="1" applyBorder="1" applyAlignment="1">
      <alignment horizontal="center"/>
    </xf>
    <xf numFmtId="0" fontId="0" fillId="3" borderId="0" xfId="0" applyFill="1" applyAlignment="1">
      <alignment horizontal="center"/>
    </xf>
    <xf numFmtId="0" fontId="7" fillId="4" borderId="6" xfId="0" applyFont="1" applyFill="1" applyBorder="1"/>
    <xf numFmtId="0" fontId="0" fillId="4" borderId="6" xfId="0" applyFill="1" applyBorder="1"/>
    <xf numFmtId="0" fontId="0" fillId="3" borderId="2" xfId="0" applyFill="1" applyBorder="1" applyAlignment="1">
      <alignment horizontal="center"/>
    </xf>
    <xf numFmtId="0" fontId="10" fillId="4" borderId="0" xfId="0" applyFont="1" applyFill="1"/>
    <xf numFmtId="0" fontId="0" fillId="0" borderId="12" xfId="0" applyBorder="1"/>
    <xf numFmtId="40" fontId="8" fillId="0" borderId="0" xfId="0" applyNumberFormat="1" applyFont="1"/>
    <xf numFmtId="40" fontId="0" fillId="0" borderId="0" xfId="0" applyNumberFormat="1"/>
    <xf numFmtId="4" fontId="8" fillId="0" borderId="0" xfId="0" applyNumberFormat="1" applyFont="1"/>
    <xf numFmtId="40" fontId="10" fillId="0" borderId="0" xfId="0" applyNumberFormat="1" applyFont="1"/>
    <xf numFmtId="4" fontId="10" fillId="0" borderId="0" xfId="0" applyNumberFormat="1" applyFont="1"/>
    <xf numFmtId="0" fontId="10" fillId="0" borderId="0" xfId="0" applyFont="1"/>
    <xf numFmtId="40" fontId="0" fillId="0" borderId="0" xfId="0" applyNumberFormat="1" applyAlignment="1">
      <alignment horizontal="center"/>
    </xf>
    <xf numFmtId="4" fontId="0" fillId="0" borderId="0" xfId="0" applyNumberFormat="1" applyAlignment="1">
      <alignment horizontal="center"/>
    </xf>
    <xf numFmtId="40" fontId="9" fillId="0" borderId="0" xfId="0" applyNumberFormat="1" applyFont="1"/>
    <xf numFmtId="4" fontId="9" fillId="0" borderId="0" xfId="0" applyNumberFormat="1" applyFont="1"/>
    <xf numFmtId="0" fontId="9" fillId="0" borderId="0" xfId="0" applyFont="1"/>
    <xf numFmtId="40" fontId="7" fillId="0" borderId="0" xfId="0" applyNumberFormat="1" applyFont="1"/>
    <xf numFmtId="4" fontId="7" fillId="0" borderId="0" xfId="0" applyNumberFormat="1" applyFont="1"/>
    <xf numFmtId="0" fontId="0" fillId="0" borderId="11" xfId="0" applyBorder="1"/>
    <xf numFmtId="4" fontId="0" fillId="0" borderId="0" xfId="0" applyNumberFormat="1" applyAlignment="1">
      <alignment horizontal="left"/>
    </xf>
    <xf numFmtId="40" fontId="6" fillId="0" borderId="0" xfId="0" applyNumberFormat="1" applyFont="1" applyAlignment="1">
      <alignment horizontal="center" vertical="center" wrapText="1"/>
    </xf>
    <xf numFmtId="40" fontId="0" fillId="0" borderId="0" xfId="1" applyNumberFormat="1" applyFont="1" applyFill="1" applyBorder="1" applyAlignment="1"/>
    <xf numFmtId="40" fontId="9" fillId="0" borderId="0" xfId="1" applyNumberFormat="1" applyFont="1" applyFill="1" applyBorder="1" applyAlignment="1"/>
    <xf numFmtId="0" fontId="0" fillId="4" borderId="11" xfId="0" applyFill="1" applyBorder="1"/>
    <xf numFmtId="0" fontId="9" fillId="3" borderId="0" xfId="0" applyFont="1" applyFill="1"/>
    <xf numFmtId="0" fontId="9" fillId="3" borderId="5" xfId="0" applyFont="1" applyFill="1" applyBorder="1"/>
    <xf numFmtId="0" fontId="9" fillId="4" borderId="13" xfId="0" applyFont="1" applyFill="1" applyBorder="1"/>
    <xf numFmtId="0" fontId="9" fillId="4" borderId="14" xfId="0" applyFont="1" applyFill="1" applyBorder="1"/>
    <xf numFmtId="0" fontId="9" fillId="3" borderId="16" xfId="0" applyFont="1" applyFill="1" applyBorder="1"/>
    <xf numFmtId="49" fontId="11" fillId="0" borderId="0" xfId="0" applyNumberFormat="1" applyFont="1" applyAlignment="1">
      <alignment horizontal="center"/>
    </xf>
    <xf numFmtId="0" fontId="11" fillId="0" borderId="0" xfId="0" applyFont="1"/>
    <xf numFmtId="0" fontId="12" fillId="0" borderId="0" xfId="0" applyFont="1"/>
    <xf numFmtId="0" fontId="13" fillId="0" borderId="0" xfId="0" applyFont="1"/>
    <xf numFmtId="0" fontId="13" fillId="0" borderId="0" xfId="0" applyFont="1" applyAlignment="1">
      <alignment horizontal="center"/>
    </xf>
    <xf numFmtId="49" fontId="14" fillId="0" borderId="0" xfId="0" applyNumberFormat="1" applyFont="1" applyAlignment="1">
      <alignment horizontal="center" vertical="center"/>
    </xf>
    <xf numFmtId="0" fontId="0" fillId="0" borderId="0" xfId="0" applyAlignment="1">
      <alignment horizontal="center" vertical="center"/>
    </xf>
    <xf numFmtId="49" fontId="15" fillId="0" borderId="30" xfId="0" applyNumberFormat="1" applyFont="1" applyBorder="1" applyAlignment="1">
      <alignment vertical="center"/>
    </xf>
    <xf numFmtId="0" fontId="17" fillId="0" borderId="0" xfId="0" applyFont="1" applyAlignment="1">
      <alignment vertical="center"/>
    </xf>
    <xf numFmtId="0" fontId="17" fillId="0" borderId="30" xfId="0" applyFont="1" applyBorder="1" applyAlignment="1">
      <alignment vertical="center"/>
    </xf>
    <xf numFmtId="49" fontId="14" fillId="0" borderId="0" xfId="0" applyNumberFormat="1" applyFont="1" applyAlignment="1">
      <alignment vertical="center"/>
    </xf>
    <xf numFmtId="0" fontId="0" fillId="0" borderId="0" xfId="0" applyAlignment="1">
      <alignment vertical="center"/>
    </xf>
    <xf numFmtId="49" fontId="14" fillId="0" borderId="0" xfId="0" applyNumberFormat="1" applyFont="1"/>
    <xf numFmtId="49" fontId="14" fillId="0" borderId="2" xfId="0" applyNumberFormat="1" applyFont="1" applyBorder="1"/>
    <xf numFmtId="49" fontId="18" fillId="0" borderId="0" xfId="0" applyNumberFormat="1" applyFont="1" applyAlignment="1">
      <alignment vertical="center"/>
    </xf>
    <xf numFmtId="49" fontId="18" fillId="0" borderId="2" xfId="0" applyNumberFormat="1" applyFont="1" applyBorder="1" applyAlignment="1">
      <alignment vertical="center"/>
    </xf>
    <xf numFmtId="49" fontId="14" fillId="0" borderId="3" xfId="0" applyNumberFormat="1" applyFont="1" applyBorder="1" applyAlignment="1">
      <alignment vertical="center"/>
    </xf>
    <xf numFmtId="49" fontId="15" fillId="0" borderId="31" xfId="0" applyNumberFormat="1" applyFont="1" applyBorder="1" applyAlignment="1">
      <alignment vertical="center"/>
    </xf>
    <xf numFmtId="0" fontId="15" fillId="0" borderId="0" xfId="0" applyFont="1" applyAlignment="1">
      <alignment vertical="center"/>
    </xf>
    <xf numFmtId="0" fontId="15" fillId="0" borderId="30" xfId="0" applyFont="1" applyBorder="1" applyAlignment="1">
      <alignment vertical="center"/>
    </xf>
    <xf numFmtId="0" fontId="11" fillId="0" borderId="0" xfId="0" applyFont="1" applyAlignment="1">
      <alignment vertical="center"/>
    </xf>
    <xf numFmtId="49" fontId="19" fillId="0" borderId="27" xfId="0" applyNumberFormat="1" applyFont="1" applyBorder="1" applyAlignment="1">
      <alignment vertical="center"/>
    </xf>
    <xf numFmtId="49" fontId="14" fillId="0" borderId="27" xfId="0" applyNumberFormat="1" applyFont="1" applyBorder="1" applyAlignment="1">
      <alignment vertical="center"/>
    </xf>
    <xf numFmtId="49" fontId="14" fillId="0" borderId="2" xfId="0" applyNumberFormat="1" applyFont="1" applyBorder="1" applyAlignment="1">
      <alignment vertical="center"/>
    </xf>
    <xf numFmtId="49" fontId="19" fillId="0" borderId="28" xfId="0" applyNumberFormat="1" applyFont="1" applyBorder="1" applyAlignment="1">
      <alignment vertical="center"/>
    </xf>
    <xf numFmtId="49" fontId="14" fillId="0" borderId="28" xfId="0" applyNumberFormat="1" applyFont="1" applyBorder="1" applyAlignment="1">
      <alignment vertical="center"/>
    </xf>
    <xf numFmtId="49" fontId="20" fillId="0" borderId="0" xfId="0" applyNumberFormat="1" applyFont="1" applyAlignment="1">
      <alignment horizontal="center"/>
    </xf>
    <xf numFmtId="0" fontId="0" fillId="5" borderId="0" xfId="0" applyFill="1"/>
    <xf numFmtId="49" fontId="21" fillId="0" borderId="0" xfId="0" applyNumberFormat="1" applyFont="1" applyAlignment="1">
      <alignment horizontal="center"/>
    </xf>
    <xf numFmtId="0" fontId="0" fillId="6" borderId="0" xfId="0" applyFill="1"/>
    <xf numFmtId="49" fontId="22" fillId="6" borderId="0" xfId="0" applyNumberFormat="1" applyFont="1" applyFill="1"/>
    <xf numFmtId="0" fontId="0" fillId="7" borderId="0" xfId="0" applyFill="1"/>
    <xf numFmtId="49" fontId="22" fillId="7" borderId="0" xfId="0" applyNumberFormat="1" applyFont="1" applyFill="1"/>
    <xf numFmtId="0" fontId="0" fillId="7" borderId="0" xfId="0" applyFill="1" applyAlignment="1">
      <alignment horizontal="center"/>
    </xf>
    <xf numFmtId="49" fontId="21" fillId="0" borderId="0" xfId="0" applyNumberFormat="1" applyFont="1" applyAlignment="1">
      <alignment horizontal="left"/>
    </xf>
    <xf numFmtId="0" fontId="0" fillId="10" borderId="0" xfId="0" applyFill="1"/>
    <xf numFmtId="0" fontId="0" fillId="8" borderId="0" xfId="0" applyFill="1"/>
    <xf numFmtId="49" fontId="21" fillId="0" borderId="0" xfId="0" applyNumberFormat="1" applyFont="1"/>
    <xf numFmtId="0" fontId="0" fillId="0" borderId="3" xfId="0" applyBorder="1"/>
    <xf numFmtId="0" fontId="0" fillId="8" borderId="3" xfId="0" applyFill="1" applyBorder="1"/>
    <xf numFmtId="49" fontId="22" fillId="8" borderId="0" xfId="0" applyNumberFormat="1" applyFont="1" applyFill="1"/>
    <xf numFmtId="0" fontId="0" fillId="11" borderId="0" xfId="0" applyFill="1" applyAlignment="1">
      <alignment horizontal="center"/>
    </xf>
    <xf numFmtId="49" fontId="22" fillId="11" borderId="0" xfId="0" applyNumberFormat="1" applyFont="1" applyFill="1" applyAlignment="1">
      <alignment horizontal="left"/>
    </xf>
    <xf numFmtId="0" fontId="0" fillId="9" borderId="0" xfId="0" applyFill="1" applyAlignment="1">
      <alignment horizontal="center"/>
    </xf>
    <xf numFmtId="0" fontId="21" fillId="0" borderId="0" xfId="0" applyFont="1"/>
    <xf numFmtId="0" fontId="0" fillId="12" borderId="0" xfId="0" applyFill="1"/>
    <xf numFmtId="0" fontId="23" fillId="0" borderId="0" xfId="0" applyFont="1"/>
    <xf numFmtId="0" fontId="0" fillId="0" borderId="0" xfId="0" applyAlignment="1">
      <alignment horizontal="right"/>
    </xf>
    <xf numFmtId="49" fontId="22" fillId="5" borderId="0" xfId="0" applyNumberFormat="1" applyFont="1" applyFill="1"/>
    <xf numFmtId="49" fontId="22" fillId="7" borderId="0" xfId="0" applyNumberFormat="1" applyFont="1" applyFill="1" applyAlignment="1">
      <alignment horizontal="left"/>
    </xf>
    <xf numFmtId="49" fontId="22" fillId="10" borderId="0" xfId="0" applyNumberFormat="1" applyFont="1" applyFill="1"/>
    <xf numFmtId="49" fontId="22" fillId="11" borderId="0" xfId="0" applyNumberFormat="1" applyFont="1" applyFill="1"/>
    <xf numFmtId="49" fontId="21" fillId="5" borderId="16" xfId="0" applyNumberFormat="1" applyFont="1" applyFill="1" applyBorder="1"/>
    <xf numFmtId="49" fontId="21" fillId="6" borderId="34" xfId="0" applyNumberFormat="1" applyFont="1" applyFill="1" applyBorder="1"/>
    <xf numFmtId="49" fontId="21" fillId="6" borderId="28" xfId="0" applyNumberFormat="1" applyFont="1" applyFill="1" applyBorder="1"/>
    <xf numFmtId="49" fontId="21" fillId="6" borderId="16" xfId="0" applyNumberFormat="1" applyFont="1" applyFill="1" applyBorder="1"/>
    <xf numFmtId="49" fontId="21" fillId="7" borderId="34" xfId="0" applyNumberFormat="1" applyFont="1" applyFill="1" applyBorder="1"/>
    <xf numFmtId="49" fontId="21" fillId="7" borderId="28" xfId="0" applyNumberFormat="1" applyFont="1" applyFill="1" applyBorder="1"/>
    <xf numFmtId="49" fontId="21" fillId="7" borderId="16" xfId="0" applyNumberFormat="1" applyFont="1" applyFill="1" applyBorder="1"/>
    <xf numFmtId="49" fontId="21" fillId="7" borderId="16" xfId="0" applyNumberFormat="1" applyFont="1" applyFill="1" applyBorder="1" applyAlignment="1">
      <alignment horizontal="center"/>
    </xf>
    <xf numFmtId="49" fontId="21" fillId="10" borderId="34" xfId="0" applyNumberFormat="1" applyFont="1" applyFill="1" applyBorder="1"/>
    <xf numFmtId="49" fontId="21" fillId="10" borderId="28" xfId="0" applyNumberFormat="1" applyFont="1" applyFill="1" applyBorder="1"/>
    <xf numFmtId="49" fontId="21" fillId="10" borderId="16" xfId="0" applyNumberFormat="1" applyFont="1" applyFill="1" applyBorder="1"/>
    <xf numFmtId="49" fontId="21" fillId="8" borderId="34" xfId="0" applyNumberFormat="1" applyFont="1" applyFill="1" applyBorder="1"/>
    <xf numFmtId="49" fontId="21" fillId="8" borderId="28" xfId="0" applyNumberFormat="1" applyFont="1" applyFill="1" applyBorder="1"/>
    <xf numFmtId="49" fontId="22" fillId="8" borderId="16" xfId="0" applyNumberFormat="1" applyFont="1" applyFill="1" applyBorder="1"/>
    <xf numFmtId="49" fontId="21" fillId="11" borderId="34" xfId="0" applyNumberFormat="1" applyFont="1" applyFill="1" applyBorder="1" applyAlignment="1">
      <alignment horizontal="left"/>
    </xf>
    <xf numFmtId="49" fontId="21" fillId="11" borderId="28" xfId="0" applyNumberFormat="1" applyFont="1" applyFill="1" applyBorder="1" applyAlignment="1">
      <alignment horizontal="center"/>
    </xf>
    <xf numFmtId="0" fontId="8" fillId="11" borderId="16" xfId="0" applyFont="1" applyFill="1" applyBorder="1" applyAlignment="1">
      <alignment horizontal="center"/>
    </xf>
    <xf numFmtId="49" fontId="21" fillId="9" borderId="34" xfId="0" applyNumberFormat="1" applyFont="1" applyFill="1" applyBorder="1"/>
    <xf numFmtId="49" fontId="21" fillId="5" borderId="37" xfId="0" applyNumberFormat="1" applyFont="1" applyFill="1" applyBorder="1"/>
    <xf numFmtId="49" fontId="21" fillId="8" borderId="24" xfId="0" applyNumberFormat="1" applyFont="1" applyFill="1" applyBorder="1"/>
    <xf numFmtId="0" fontId="9" fillId="3" borderId="8" xfId="0" applyFont="1" applyFill="1" applyBorder="1" applyAlignment="1">
      <alignment horizontal="center" wrapText="1"/>
    </xf>
    <xf numFmtId="40" fontId="6" fillId="3" borderId="9" xfId="0" applyNumberFormat="1" applyFont="1" applyFill="1" applyBorder="1" applyAlignment="1">
      <alignment horizontal="center" vertical="center" wrapText="1"/>
    </xf>
    <xf numFmtId="0" fontId="9" fillId="3" borderId="22" xfId="0" applyFont="1" applyFill="1" applyBorder="1" applyAlignment="1">
      <alignment horizontal="center" vertical="center"/>
    </xf>
    <xf numFmtId="0" fontId="0" fillId="0" borderId="2" xfId="0" applyBorder="1" applyAlignment="1">
      <alignment vertical="center"/>
    </xf>
    <xf numFmtId="49" fontId="14" fillId="0" borderId="27" xfId="0" applyNumberFormat="1" applyFont="1" applyBorder="1"/>
    <xf numFmtId="0" fontId="0" fillId="0" borderId="27" xfId="0" applyBorder="1"/>
    <xf numFmtId="49" fontId="21" fillId="5" borderId="39" xfId="0" applyNumberFormat="1" applyFont="1" applyFill="1" applyBorder="1"/>
    <xf numFmtId="0" fontId="0" fillId="4" borderId="33" xfId="0" applyFill="1" applyBorder="1"/>
    <xf numFmtId="0" fontId="0" fillId="4" borderId="33" xfId="0" applyFill="1" applyBorder="1" applyAlignment="1">
      <alignment horizontal="center"/>
    </xf>
    <xf numFmtId="40" fontId="0" fillId="4" borderId="33" xfId="0" applyNumberFormat="1" applyFill="1" applyBorder="1"/>
    <xf numFmtId="40" fontId="0" fillId="4" borderId="42" xfId="0" applyNumberFormat="1" applyFill="1" applyBorder="1"/>
    <xf numFmtId="0" fontId="20" fillId="0" borderId="0" xfId="0" applyFont="1" applyAlignment="1">
      <alignment horizontal="center"/>
    </xf>
    <xf numFmtId="0" fontId="23" fillId="0" borderId="0" xfId="0" applyFont="1" applyAlignment="1">
      <alignment horizontal="center"/>
    </xf>
    <xf numFmtId="38" fontId="22" fillId="5" borderId="1" xfId="1" applyNumberFormat="1" applyFont="1" applyFill="1" applyBorder="1" applyAlignment="1">
      <alignment horizontal="right"/>
    </xf>
    <xf numFmtId="38" fontId="22" fillId="5" borderId="9" xfId="1" applyNumberFormat="1" applyFont="1" applyFill="1" applyBorder="1" applyAlignment="1">
      <alignment horizontal="right"/>
    </xf>
    <xf numFmtId="38" fontId="21" fillId="0" borderId="0" xfId="0" applyNumberFormat="1" applyFont="1" applyAlignment="1">
      <alignment horizontal="right"/>
    </xf>
    <xf numFmtId="38" fontId="22" fillId="6" borderId="37" xfId="0" applyNumberFormat="1" applyFont="1" applyFill="1" applyBorder="1" applyAlignment="1">
      <alignment horizontal="right"/>
    </xf>
    <xf numFmtId="38" fontId="22" fillId="6" borderId="39" xfId="0" applyNumberFormat="1" applyFont="1" applyFill="1" applyBorder="1" applyAlignment="1">
      <alignment horizontal="right"/>
    </xf>
    <xf numFmtId="38" fontId="22" fillId="6" borderId="1" xfId="1" applyNumberFormat="1" applyFont="1" applyFill="1" applyBorder="1" applyAlignment="1">
      <alignment horizontal="right"/>
    </xf>
    <xf numFmtId="38" fontId="22" fillId="6" borderId="9" xfId="1" applyNumberFormat="1" applyFont="1" applyFill="1" applyBorder="1" applyAlignment="1">
      <alignment horizontal="right"/>
    </xf>
    <xf numFmtId="38" fontId="21" fillId="0" borderId="0" xfId="1" applyNumberFormat="1" applyFont="1" applyBorder="1" applyAlignment="1">
      <alignment horizontal="right"/>
    </xf>
    <xf numFmtId="38" fontId="8" fillId="0" borderId="0" xfId="1" applyNumberFormat="1" applyFont="1" applyBorder="1" applyAlignment="1">
      <alignment horizontal="right"/>
    </xf>
    <xf numFmtId="38" fontId="22" fillId="7" borderId="37" xfId="1" applyNumberFormat="1" applyFont="1" applyFill="1" applyBorder="1" applyAlignment="1">
      <alignment horizontal="right"/>
    </xf>
    <xf numFmtId="38" fontId="22" fillId="7" borderId="39" xfId="1" applyNumberFormat="1" applyFont="1" applyFill="1" applyBorder="1" applyAlignment="1">
      <alignment horizontal="right"/>
    </xf>
    <xf numFmtId="38" fontId="22" fillId="7" borderId="1" xfId="1" applyNumberFormat="1" applyFont="1" applyFill="1" applyBorder="1" applyAlignment="1">
      <alignment horizontal="right"/>
    </xf>
    <xf numFmtId="38" fontId="22" fillId="7" borderId="9" xfId="1" applyNumberFormat="1" applyFont="1" applyFill="1" applyBorder="1" applyAlignment="1">
      <alignment horizontal="right"/>
    </xf>
    <xf numFmtId="38" fontId="21" fillId="0" borderId="0" xfId="1" applyNumberFormat="1" applyFont="1" applyFill="1" applyBorder="1" applyAlignment="1">
      <alignment horizontal="right"/>
    </xf>
    <xf numFmtId="38" fontId="22" fillId="10" borderId="37" xfId="1" applyNumberFormat="1" applyFont="1" applyFill="1" applyBorder="1" applyAlignment="1">
      <alignment horizontal="right"/>
    </xf>
    <xf numFmtId="38" fontId="22" fillId="10" borderId="39" xfId="1" applyNumberFormat="1" applyFont="1" applyFill="1" applyBorder="1" applyAlignment="1">
      <alignment horizontal="right"/>
    </xf>
    <xf numFmtId="38" fontId="22" fillId="10" borderId="1" xfId="1" applyNumberFormat="1" applyFont="1" applyFill="1" applyBorder="1" applyAlignment="1">
      <alignment horizontal="right"/>
    </xf>
    <xf numFmtId="38" fontId="22" fillId="10" borderId="9" xfId="1" applyNumberFormat="1" applyFont="1" applyFill="1" applyBorder="1" applyAlignment="1">
      <alignment horizontal="right"/>
    </xf>
    <xf numFmtId="38" fontId="22" fillId="8" borderId="37" xfId="1" applyNumberFormat="1" applyFont="1" applyFill="1" applyBorder="1" applyAlignment="1">
      <alignment horizontal="right"/>
    </xf>
    <xf numFmtId="38" fontId="22" fillId="8" borderId="39" xfId="1" applyNumberFormat="1" applyFont="1" applyFill="1" applyBorder="1" applyAlignment="1">
      <alignment horizontal="right"/>
    </xf>
    <xf numFmtId="38" fontId="22" fillId="8" borderId="1" xfId="1" applyNumberFormat="1" applyFont="1" applyFill="1" applyBorder="1" applyAlignment="1">
      <alignment horizontal="right"/>
    </xf>
    <xf numFmtId="38" fontId="22" fillId="8" borderId="9" xfId="1" applyNumberFormat="1" applyFont="1" applyFill="1" applyBorder="1" applyAlignment="1">
      <alignment horizontal="right"/>
    </xf>
    <xf numFmtId="38" fontId="21" fillId="8" borderId="37" xfId="1" applyNumberFormat="1" applyFont="1" applyFill="1" applyBorder="1" applyAlignment="1">
      <alignment horizontal="right"/>
    </xf>
    <xf numFmtId="38" fontId="21" fillId="8" borderId="39" xfId="1" applyNumberFormat="1" applyFont="1" applyFill="1" applyBorder="1" applyAlignment="1">
      <alignment horizontal="right"/>
    </xf>
    <xf numFmtId="38" fontId="21" fillId="11" borderId="37" xfId="1" applyNumberFormat="1" applyFont="1" applyFill="1" applyBorder="1" applyAlignment="1">
      <alignment horizontal="right"/>
    </xf>
    <xf numFmtId="38" fontId="21" fillId="11" borderId="39" xfId="1" applyNumberFormat="1" applyFont="1" applyFill="1" applyBorder="1" applyAlignment="1">
      <alignment horizontal="right"/>
    </xf>
    <xf numFmtId="38" fontId="22" fillId="11" borderId="1" xfId="1" applyNumberFormat="1" applyFont="1" applyFill="1" applyBorder="1" applyAlignment="1">
      <alignment horizontal="right"/>
    </xf>
    <xf numFmtId="38" fontId="22" fillId="11" borderId="9" xfId="1" applyNumberFormat="1" applyFont="1" applyFill="1" applyBorder="1" applyAlignment="1">
      <alignment horizontal="right"/>
    </xf>
    <xf numFmtId="38" fontId="0" fillId="0" borderId="0" xfId="0" applyNumberFormat="1" applyAlignment="1">
      <alignment horizontal="right"/>
    </xf>
    <xf numFmtId="6" fontId="0" fillId="5" borderId="18" xfId="0" applyNumberFormat="1" applyFill="1" applyBorder="1"/>
    <xf numFmtId="6" fontId="21" fillId="5" borderId="19" xfId="0" applyNumberFormat="1" applyFont="1" applyFill="1" applyBorder="1" applyAlignment="1">
      <alignment horizontal="center"/>
    </xf>
    <xf numFmtId="6" fontId="0" fillId="0" borderId="0" xfId="0" applyNumberFormat="1"/>
    <xf numFmtId="6" fontId="0" fillId="5" borderId="0" xfId="0" applyNumberFormat="1" applyFill="1"/>
    <xf numFmtId="6" fontId="0" fillId="6" borderId="18" xfId="0" applyNumberFormat="1" applyFill="1" applyBorder="1"/>
    <xf numFmtId="6" fontId="21" fillId="6" borderId="19" xfId="0" applyNumberFormat="1" applyFont="1" applyFill="1" applyBorder="1" applyAlignment="1">
      <alignment horizontal="center"/>
    </xf>
    <xf numFmtId="6" fontId="21" fillId="6" borderId="25" xfId="1" applyNumberFormat="1" applyFont="1" applyFill="1" applyBorder="1" applyAlignment="1">
      <alignment horizontal="right"/>
    </xf>
    <xf numFmtId="6" fontId="0" fillId="6" borderId="0" xfId="0" applyNumberFormat="1" applyFill="1"/>
    <xf numFmtId="6" fontId="0" fillId="7" borderId="18" xfId="0" applyNumberFormat="1" applyFill="1" applyBorder="1" applyAlignment="1">
      <alignment horizontal="center"/>
    </xf>
    <xf numFmtId="6" fontId="21" fillId="7" borderId="19" xfId="0" applyNumberFormat="1" applyFont="1" applyFill="1" applyBorder="1" applyAlignment="1">
      <alignment horizontal="center"/>
    </xf>
    <xf numFmtId="6" fontId="21" fillId="7" borderId="25" xfId="1" applyNumberFormat="1" applyFont="1" applyFill="1" applyBorder="1" applyAlignment="1">
      <alignment horizontal="right"/>
    </xf>
    <xf numFmtId="6" fontId="0" fillId="0" borderId="0" xfId="0" applyNumberFormat="1" applyAlignment="1">
      <alignment horizontal="center"/>
    </xf>
    <xf numFmtId="6" fontId="0" fillId="7" borderId="0" xfId="0" applyNumberFormat="1" applyFill="1" applyAlignment="1">
      <alignment horizontal="center"/>
    </xf>
    <xf numFmtId="6" fontId="0" fillId="10" borderId="18" xfId="0" applyNumberFormat="1" applyFill="1" applyBorder="1"/>
    <xf numFmtId="6" fontId="21" fillId="10" borderId="19" xfId="0" applyNumberFormat="1" applyFont="1" applyFill="1" applyBorder="1" applyAlignment="1">
      <alignment horizontal="center"/>
    </xf>
    <xf numFmtId="6" fontId="21" fillId="10" borderId="25" xfId="1" applyNumberFormat="1" applyFont="1" applyFill="1" applyBorder="1" applyAlignment="1">
      <alignment horizontal="right"/>
    </xf>
    <xf numFmtId="6" fontId="21" fillId="10" borderId="20" xfId="1" applyNumberFormat="1" applyFont="1" applyFill="1" applyBorder="1" applyAlignment="1">
      <alignment horizontal="right"/>
    </xf>
    <xf numFmtId="6" fontId="0" fillId="10" borderId="0" xfId="0" applyNumberFormat="1" applyFill="1"/>
    <xf numFmtId="6" fontId="0" fillId="8" borderId="35" xfId="0" applyNumberFormat="1" applyFill="1" applyBorder="1"/>
    <xf numFmtId="6" fontId="21" fillId="8" borderId="19" xfId="0" applyNumberFormat="1" applyFont="1" applyFill="1" applyBorder="1" applyAlignment="1">
      <alignment horizontal="center"/>
    </xf>
    <xf numFmtId="6" fontId="21" fillId="8" borderId="25" xfId="1" applyNumberFormat="1" applyFont="1" applyFill="1" applyBorder="1" applyAlignment="1">
      <alignment horizontal="right"/>
    </xf>
    <xf numFmtId="6" fontId="0" fillId="0" borderId="2" xfId="0" applyNumberFormat="1" applyBorder="1"/>
    <xf numFmtId="6" fontId="0" fillId="8" borderId="2" xfId="0" applyNumberFormat="1" applyFill="1" applyBorder="1"/>
    <xf numFmtId="6" fontId="0" fillId="8" borderId="18" xfId="0" applyNumberFormat="1" applyFill="1" applyBorder="1"/>
    <xf numFmtId="6" fontId="0" fillId="11" borderId="18" xfId="0" applyNumberFormat="1" applyFill="1" applyBorder="1" applyAlignment="1">
      <alignment horizontal="center"/>
    </xf>
    <xf numFmtId="6" fontId="7" fillId="11" borderId="19" xfId="0" applyNumberFormat="1" applyFont="1" applyFill="1" applyBorder="1" applyAlignment="1">
      <alignment horizontal="center"/>
    </xf>
    <xf numFmtId="6" fontId="21" fillId="11" borderId="25" xfId="1" applyNumberFormat="1" applyFont="1" applyFill="1" applyBorder="1" applyAlignment="1">
      <alignment horizontal="right"/>
    </xf>
    <xf numFmtId="6" fontId="0" fillId="11" borderId="0" xfId="0" applyNumberFormat="1" applyFill="1" applyAlignment="1">
      <alignment horizontal="center"/>
    </xf>
    <xf numFmtId="6" fontId="0" fillId="9" borderId="35" xfId="0" applyNumberFormat="1" applyFill="1" applyBorder="1"/>
    <xf numFmtId="6" fontId="0" fillId="9" borderId="0" xfId="0" applyNumberFormat="1" applyFill="1"/>
    <xf numFmtId="6" fontId="21" fillId="13" borderId="32" xfId="0" applyNumberFormat="1" applyFont="1" applyFill="1" applyBorder="1"/>
    <xf numFmtId="6" fontId="0" fillId="0" borderId="0" xfId="0" applyNumberFormat="1" applyAlignment="1">
      <alignment horizontal="right"/>
    </xf>
    <xf numFmtId="41" fontId="0" fillId="0" borderId="0" xfId="0" applyNumberFormat="1"/>
    <xf numFmtId="41" fontId="13" fillId="0" borderId="0" xfId="0" applyNumberFormat="1" applyFont="1"/>
    <xf numFmtId="41" fontId="14" fillId="0" borderId="0" xfId="0" applyNumberFormat="1" applyFont="1" applyAlignment="1">
      <alignment horizontal="center" vertical="center"/>
    </xf>
    <xf numFmtId="41" fontId="18" fillId="0" borderId="0" xfId="0" applyNumberFormat="1" applyFont="1" applyAlignment="1">
      <alignment vertical="center"/>
    </xf>
    <xf numFmtId="41" fontId="18" fillId="0" borderId="27" xfId="0" applyNumberFormat="1" applyFont="1" applyBorder="1"/>
    <xf numFmtId="41" fontId="18" fillId="0" borderId="2" xfId="0" applyNumberFormat="1" applyFont="1" applyBorder="1" applyAlignment="1">
      <alignment vertical="center"/>
    </xf>
    <xf numFmtId="41" fontId="14" fillId="0" borderId="0" xfId="0" applyNumberFormat="1" applyFont="1" applyAlignment="1">
      <alignment vertical="center"/>
    </xf>
    <xf numFmtId="41" fontId="18" fillId="0" borderId="2" xfId="0" applyNumberFormat="1" applyFont="1" applyBorder="1"/>
    <xf numFmtId="41" fontId="14" fillId="0" borderId="3" xfId="0" applyNumberFormat="1" applyFont="1" applyBorder="1" applyAlignment="1">
      <alignment vertical="center"/>
    </xf>
    <xf numFmtId="41" fontId="16" fillId="0" borderId="30" xfId="0" applyNumberFormat="1" applyFont="1" applyBorder="1" applyAlignment="1">
      <alignment vertical="center"/>
    </xf>
    <xf numFmtId="41" fontId="18" fillId="0" borderId="27" xfId="0" applyNumberFormat="1" applyFont="1" applyBorder="1" applyAlignment="1">
      <alignment vertical="center"/>
    </xf>
    <xf numFmtId="41" fontId="18" fillId="0" borderId="6" xfId="0" applyNumberFormat="1" applyFont="1" applyBorder="1" applyAlignment="1">
      <alignment vertical="center"/>
    </xf>
    <xf numFmtId="42" fontId="18" fillId="0" borderId="0" xfId="0" applyNumberFormat="1" applyFont="1" applyAlignment="1">
      <alignment vertical="center"/>
    </xf>
    <xf numFmtId="42" fontId="15" fillId="0" borderId="31" xfId="0" applyNumberFormat="1" applyFont="1" applyBorder="1" applyAlignment="1">
      <alignment vertical="center"/>
    </xf>
    <xf numFmtId="41" fontId="0" fillId="0" borderId="0" xfId="0" applyNumberFormat="1" applyAlignment="1">
      <alignment vertical="center"/>
    </xf>
    <xf numFmtId="165" fontId="0" fillId="0" borderId="0" xfId="1" applyNumberFormat="1" applyFont="1" applyFill="1" applyBorder="1" applyAlignment="1"/>
    <xf numFmtId="42" fontId="0" fillId="0" borderId="0" xfId="0" applyNumberFormat="1"/>
    <xf numFmtId="42" fontId="6" fillId="0" borderId="0" xfId="0" applyNumberFormat="1" applyFont="1"/>
    <xf numFmtId="42" fontId="6" fillId="3" borderId="6" xfId="0" applyNumberFormat="1" applyFont="1" applyFill="1" applyBorder="1"/>
    <xf numFmtId="0" fontId="9" fillId="4" borderId="32" xfId="0" applyFont="1" applyFill="1" applyBorder="1" applyAlignment="1">
      <alignment vertical="center"/>
    </xf>
    <xf numFmtId="0" fontId="9" fillId="4" borderId="33" xfId="0" applyFont="1" applyFill="1" applyBorder="1" applyAlignment="1">
      <alignment vertical="center"/>
    </xf>
    <xf numFmtId="0" fontId="9" fillId="4" borderId="42" xfId="0" applyFont="1" applyFill="1" applyBorder="1" applyAlignment="1">
      <alignment vertical="center"/>
    </xf>
    <xf numFmtId="40" fontId="6" fillId="3" borderId="47" xfId="0" applyNumberFormat="1" applyFont="1" applyFill="1" applyBorder="1" applyAlignment="1">
      <alignment horizontal="center" vertical="center" wrapText="1"/>
    </xf>
    <xf numFmtId="0" fontId="9" fillId="3" borderId="35" xfId="0" applyFont="1" applyFill="1" applyBorder="1"/>
    <xf numFmtId="0" fontId="9" fillId="3" borderId="27" xfId="0" applyFont="1" applyFill="1" applyBorder="1"/>
    <xf numFmtId="0" fontId="9" fillId="3" borderId="27" xfId="0" applyFont="1" applyFill="1" applyBorder="1" applyAlignment="1">
      <alignment horizontal="center"/>
    </xf>
    <xf numFmtId="14" fontId="9" fillId="3" borderId="27" xfId="0" applyNumberFormat="1" applyFont="1" applyFill="1" applyBorder="1" applyAlignment="1">
      <alignment horizontal="center"/>
    </xf>
    <xf numFmtId="42" fontId="26" fillId="0" borderId="0" xfId="0" applyNumberFormat="1" applyFont="1" applyAlignment="1">
      <alignment horizontal="right" vertical="center"/>
    </xf>
    <xf numFmtId="41" fontId="18" fillId="0" borderId="0" xfId="0" applyNumberFormat="1" applyFont="1"/>
    <xf numFmtId="49" fontId="15" fillId="0" borderId="0" xfId="0" applyNumberFormat="1" applyFont="1" applyAlignment="1">
      <alignment vertical="center"/>
    </xf>
    <xf numFmtId="42" fontId="15" fillId="0" borderId="0" xfId="0" applyNumberFormat="1" applyFont="1" applyAlignment="1">
      <alignment vertical="center"/>
    </xf>
    <xf numFmtId="41" fontId="16" fillId="0" borderId="0" xfId="0" applyNumberFormat="1" applyFont="1" applyAlignment="1">
      <alignment vertical="center"/>
    </xf>
    <xf numFmtId="49" fontId="19" fillId="0" borderId="0" xfId="0" applyNumberFormat="1" applyFont="1" applyAlignment="1">
      <alignment vertical="center"/>
    </xf>
    <xf numFmtId="42" fontId="14" fillId="0" borderId="0" xfId="0" applyNumberFormat="1" applyFont="1" applyAlignment="1">
      <alignment vertical="center"/>
    </xf>
    <xf numFmtId="0" fontId="27" fillId="0" borderId="0" xfId="0" applyFont="1"/>
    <xf numFmtId="41" fontId="27" fillId="0" borderId="0" xfId="0" applyNumberFormat="1" applyFont="1" applyAlignment="1">
      <alignment vertical="center"/>
    </xf>
    <xf numFmtId="41" fontId="18" fillId="0" borderId="0" xfId="0" applyNumberFormat="1" applyFont="1" applyAlignment="1">
      <alignment horizontal="right" vertical="center"/>
    </xf>
    <xf numFmtId="41" fontId="27" fillId="0" borderId="0" xfId="0" applyNumberFormat="1" applyFont="1"/>
    <xf numFmtId="6" fontId="7" fillId="13" borderId="38" xfId="1" applyNumberFormat="1" applyFont="1" applyFill="1" applyBorder="1" applyAlignment="1">
      <alignment horizontal="right"/>
    </xf>
    <xf numFmtId="0" fontId="28" fillId="0" borderId="0" xfId="0" applyFont="1"/>
    <xf numFmtId="38" fontId="18" fillId="0" borderId="0" xfId="0" applyNumberFormat="1" applyFont="1" applyAlignment="1">
      <alignment vertical="center"/>
    </xf>
    <xf numFmtId="166" fontId="29" fillId="0" borderId="27" xfId="0" applyNumberFormat="1" applyFont="1" applyBorder="1" applyAlignment="1">
      <alignment horizontal="center"/>
    </xf>
    <xf numFmtId="10" fontId="0" fillId="0" borderId="0" xfId="0" applyNumberFormat="1"/>
    <xf numFmtId="0" fontId="30" fillId="0" borderId="0" xfId="0" applyFont="1" applyAlignment="1">
      <alignment horizontal="left"/>
    </xf>
    <xf numFmtId="42" fontId="9" fillId="3" borderId="46" xfId="1" applyNumberFormat="1" applyFont="1" applyFill="1" applyBorder="1" applyAlignment="1"/>
    <xf numFmtId="42" fontId="6" fillId="3" borderId="35" xfId="0" applyNumberFormat="1" applyFont="1" applyFill="1" applyBorder="1"/>
    <xf numFmtId="0" fontId="0" fillId="0" borderId="49" xfId="0" applyBorder="1"/>
    <xf numFmtId="0" fontId="0" fillId="0" borderId="46" xfId="0" applyBorder="1"/>
    <xf numFmtId="42" fontId="6" fillId="3" borderId="27" xfId="0" applyNumberFormat="1" applyFont="1" applyFill="1" applyBorder="1"/>
    <xf numFmtId="42" fontId="6" fillId="3" borderId="27" xfId="0" applyNumberFormat="1" applyFont="1" applyFill="1" applyBorder="1" applyAlignment="1">
      <alignment horizontal="center"/>
    </xf>
    <xf numFmtId="14" fontId="0" fillId="0" borderId="49" xfId="0" applyNumberFormat="1" applyBorder="1" applyAlignment="1">
      <alignment horizontal="center"/>
    </xf>
    <xf numFmtId="0" fontId="0" fillId="0" borderId="49" xfId="0" applyBorder="1" applyAlignment="1">
      <alignment horizontal="center"/>
    </xf>
    <xf numFmtId="42" fontId="6" fillId="3" borderId="40" xfId="0" applyNumberFormat="1" applyFont="1" applyFill="1" applyBorder="1"/>
    <xf numFmtId="41" fontId="0" fillId="0" borderId="49" xfId="1" applyNumberFormat="1" applyFont="1" applyFill="1" applyBorder="1" applyAlignment="1"/>
    <xf numFmtId="41" fontId="0" fillId="0" borderId="46" xfId="1" applyNumberFormat="1" applyFont="1" applyFill="1" applyBorder="1" applyAlignment="1"/>
    <xf numFmtId="42" fontId="6" fillId="3" borderId="51" xfId="0" applyNumberFormat="1" applyFont="1" applyFill="1" applyBorder="1"/>
    <xf numFmtId="42" fontId="6" fillId="3" borderId="52" xfId="0" applyNumberFormat="1" applyFont="1" applyFill="1" applyBorder="1"/>
    <xf numFmtId="0" fontId="9" fillId="4" borderId="34" xfId="0" applyFont="1" applyFill="1" applyBorder="1"/>
    <xf numFmtId="0" fontId="7" fillId="4" borderId="28" xfId="0" applyFont="1" applyFill="1" applyBorder="1"/>
    <xf numFmtId="0" fontId="7" fillId="4" borderId="28" xfId="0" applyFont="1" applyFill="1" applyBorder="1" applyAlignment="1">
      <alignment horizontal="center"/>
    </xf>
    <xf numFmtId="40" fontId="7" fillId="4" borderId="28" xfId="0" applyNumberFormat="1" applyFont="1" applyFill="1" applyBorder="1"/>
    <xf numFmtId="41" fontId="0" fillId="0" borderId="49" xfId="1" applyNumberFormat="1" applyFont="1" applyFill="1" applyBorder="1" applyAlignment="1">
      <alignment horizontal="center"/>
    </xf>
    <xf numFmtId="38" fontId="0" fillId="0" borderId="46" xfId="1" applyNumberFormat="1" applyFont="1" applyFill="1" applyBorder="1" applyAlignment="1"/>
    <xf numFmtId="40" fontId="7" fillId="4" borderId="41" xfId="0" applyNumberFormat="1" applyFont="1" applyFill="1" applyBorder="1"/>
    <xf numFmtId="40" fontId="7" fillId="4" borderId="36" xfId="0" applyNumberFormat="1" applyFont="1" applyFill="1" applyBorder="1"/>
    <xf numFmtId="41" fontId="0" fillId="0" borderId="48" xfId="1" applyNumberFormat="1" applyFont="1" applyFill="1" applyBorder="1" applyAlignment="1"/>
    <xf numFmtId="38" fontId="0" fillId="0" borderId="49" xfId="1" applyNumberFormat="1" applyFont="1" applyFill="1" applyBorder="1" applyAlignment="1"/>
    <xf numFmtId="41" fontId="0" fillId="0" borderId="0" xfId="1" applyNumberFormat="1" applyFont="1" applyFill="1" applyBorder="1" applyAlignment="1"/>
    <xf numFmtId="38" fontId="0" fillId="0" borderId="0" xfId="0" applyNumberFormat="1"/>
    <xf numFmtId="167" fontId="0" fillId="0" borderId="0" xfId="0" applyNumberFormat="1" applyAlignment="1">
      <alignment horizontal="right"/>
    </xf>
    <xf numFmtId="167" fontId="0" fillId="0" borderId="0" xfId="0" applyNumberFormat="1"/>
    <xf numFmtId="0" fontId="31" fillId="0" borderId="0" xfId="0" applyFont="1" applyAlignment="1">
      <alignment horizontal="center"/>
    </xf>
    <xf numFmtId="0" fontId="25" fillId="0" borderId="0" xfId="0" applyFont="1"/>
    <xf numFmtId="0" fontId="6" fillId="3" borderId="44" xfId="0" applyFont="1" applyFill="1" applyBorder="1" applyAlignment="1">
      <alignment horizontal="center" vertical="center"/>
    </xf>
    <xf numFmtId="42" fontId="6" fillId="3" borderId="32" xfId="0" applyNumberFormat="1" applyFont="1" applyFill="1" applyBorder="1"/>
    <xf numFmtId="42" fontId="6" fillId="3" borderId="33" xfId="0" applyNumberFormat="1" applyFont="1" applyFill="1" applyBorder="1"/>
    <xf numFmtId="42" fontId="6" fillId="3" borderId="42" xfId="0" applyNumberFormat="1" applyFont="1" applyFill="1" applyBorder="1"/>
    <xf numFmtId="40" fontId="6" fillId="3" borderId="44" xfId="0" applyNumberFormat="1" applyFont="1" applyFill="1" applyBorder="1" applyAlignment="1">
      <alignment horizontal="center" vertical="center"/>
    </xf>
    <xf numFmtId="40" fontId="6" fillId="3" borderId="44" xfId="0" applyNumberFormat="1" applyFont="1" applyFill="1" applyBorder="1" applyAlignment="1">
      <alignment horizontal="center" vertical="center" wrapText="1"/>
    </xf>
    <xf numFmtId="0" fontId="0" fillId="0" borderId="56" xfId="0" applyBorder="1" applyAlignment="1">
      <alignment horizontal="center" vertical="center"/>
    </xf>
    <xf numFmtId="42" fontId="14" fillId="0" borderId="31" xfId="0" applyNumberFormat="1" applyFont="1" applyBorder="1" applyAlignment="1">
      <alignment vertical="center"/>
    </xf>
    <xf numFmtId="166" fontId="29" fillId="0" borderId="0" xfId="0" applyNumberFormat="1" applyFont="1" applyAlignment="1">
      <alignment horizontal="center"/>
    </xf>
    <xf numFmtId="41" fontId="16" fillId="0" borderId="56" xfId="0" applyNumberFormat="1" applyFont="1" applyBorder="1" applyAlignment="1">
      <alignment vertical="center"/>
    </xf>
    <xf numFmtId="41" fontId="14" fillId="0" borderId="56" xfId="0" applyNumberFormat="1" applyFont="1" applyBorder="1" applyAlignment="1">
      <alignment vertical="center"/>
    </xf>
    <xf numFmtId="41" fontId="21" fillId="5" borderId="16" xfId="0" applyNumberFormat="1" applyFont="1" applyFill="1" applyBorder="1" applyAlignment="1">
      <alignment horizontal="left"/>
    </xf>
    <xf numFmtId="41" fontId="0" fillId="0" borderId="11" xfId="1" applyNumberFormat="1" applyFont="1" applyFill="1" applyBorder="1" applyAlignment="1"/>
    <xf numFmtId="41" fontId="0" fillId="0" borderId="11" xfId="0" applyNumberFormat="1" applyBorder="1"/>
    <xf numFmtId="0" fontId="0" fillId="0" borderId="53" xfId="0" applyBorder="1"/>
    <xf numFmtId="41" fontId="0" fillId="0" borderId="54" xfId="1" applyNumberFormat="1" applyFont="1" applyFill="1" applyBorder="1" applyAlignment="1"/>
    <xf numFmtId="41" fontId="0" fillId="0" borderId="55" xfId="1" applyNumberFormat="1" applyFont="1" applyFill="1" applyBorder="1" applyAlignment="1"/>
    <xf numFmtId="0" fontId="0" fillId="0" borderId="15" xfId="0" applyBorder="1"/>
    <xf numFmtId="41" fontId="0" fillId="0" borderId="57" xfId="1" applyNumberFormat="1" applyFont="1" applyFill="1" applyBorder="1" applyAlignment="1"/>
    <xf numFmtId="0" fontId="0" fillId="0" borderId="26" xfId="0" applyBorder="1"/>
    <xf numFmtId="41" fontId="0" fillId="0" borderId="20" xfId="1" applyNumberFormat="1" applyFont="1" applyFill="1" applyBorder="1" applyAlignment="1"/>
    <xf numFmtId="41" fontId="0" fillId="0" borderId="21" xfId="1" applyNumberFormat="1" applyFont="1" applyFill="1" applyBorder="1" applyAlignment="1"/>
    <xf numFmtId="43" fontId="0" fillId="0" borderId="0" xfId="0" applyNumberFormat="1" applyAlignment="1">
      <alignment vertical="center"/>
    </xf>
    <xf numFmtId="49" fontId="32" fillId="0" borderId="0" xfId="0" applyNumberFormat="1" applyFont="1" applyAlignment="1">
      <alignment vertical="center"/>
    </xf>
    <xf numFmtId="49" fontId="21" fillId="12" borderId="34" xfId="0" applyNumberFormat="1" applyFont="1" applyFill="1" applyBorder="1"/>
    <xf numFmtId="49" fontId="21" fillId="12" borderId="28" xfId="0" applyNumberFormat="1" applyFont="1" applyFill="1" applyBorder="1"/>
    <xf numFmtId="6" fontId="21" fillId="12" borderId="39" xfId="1" applyNumberFormat="1" applyFont="1" applyFill="1" applyBorder="1" applyAlignment="1">
      <alignment horizontal="right"/>
    </xf>
    <xf numFmtId="49" fontId="21" fillId="12" borderId="16" xfId="0" applyNumberFormat="1" applyFont="1" applyFill="1" applyBorder="1"/>
    <xf numFmtId="49" fontId="21" fillId="12" borderId="24" xfId="0" applyNumberFormat="1" applyFont="1" applyFill="1" applyBorder="1"/>
    <xf numFmtId="6" fontId="21" fillId="12" borderId="40" xfId="1" applyNumberFormat="1" applyFont="1" applyFill="1" applyBorder="1" applyAlignment="1">
      <alignment horizontal="right"/>
    </xf>
    <xf numFmtId="49" fontId="22" fillId="12" borderId="0" xfId="0" applyNumberFormat="1" applyFont="1" applyFill="1"/>
    <xf numFmtId="49" fontId="22" fillId="12" borderId="2" xfId="0" applyNumberFormat="1" applyFont="1" applyFill="1" applyBorder="1"/>
    <xf numFmtId="41" fontId="0" fillId="0" borderId="6" xfId="0" applyNumberFormat="1" applyBorder="1" applyAlignment="1">
      <alignment horizontal="right"/>
    </xf>
    <xf numFmtId="42" fontId="0" fillId="0" borderId="0" xfId="0" applyNumberFormat="1" applyAlignment="1">
      <alignment horizontal="right"/>
    </xf>
    <xf numFmtId="42" fontId="15" fillId="0" borderId="56" xfId="0" applyNumberFormat="1" applyFont="1" applyBorder="1" applyAlignment="1">
      <alignment vertical="center"/>
    </xf>
    <xf numFmtId="38" fontId="21" fillId="12" borderId="39" xfId="1" applyNumberFormat="1" applyFont="1" applyFill="1" applyBorder="1" applyAlignment="1">
      <alignment horizontal="right"/>
    </xf>
    <xf numFmtId="49" fontId="21" fillId="8" borderId="16" xfId="0" applyNumberFormat="1" applyFont="1" applyFill="1" applyBorder="1"/>
    <xf numFmtId="41" fontId="0" fillId="0" borderId="0" xfId="0" applyNumberFormat="1" applyAlignment="1">
      <alignment horizontal="right"/>
    </xf>
    <xf numFmtId="8" fontId="13" fillId="0" borderId="0" xfId="0" applyNumberFormat="1" applyFont="1"/>
    <xf numFmtId="8" fontId="0" fillId="0" borderId="0" xfId="0" applyNumberFormat="1" applyAlignment="1">
      <alignment horizontal="center" vertical="center"/>
    </xf>
    <xf numFmtId="8" fontId="17" fillId="0" borderId="0" xfId="0" applyNumberFormat="1" applyFont="1" applyAlignment="1">
      <alignment vertical="center"/>
    </xf>
    <xf numFmtId="8" fontId="0" fillId="0" borderId="0" xfId="0" applyNumberFormat="1" applyAlignment="1">
      <alignment vertical="center"/>
    </xf>
    <xf numFmtId="8" fontId="0" fillId="0" borderId="0" xfId="0" applyNumberFormat="1"/>
    <xf numFmtId="8" fontId="15" fillId="0" borderId="0" xfId="0" applyNumberFormat="1" applyFont="1" applyAlignment="1">
      <alignment vertical="center"/>
    </xf>
    <xf numFmtId="8" fontId="11" fillId="0" borderId="0" xfId="0" applyNumberFormat="1" applyFont="1" applyAlignment="1">
      <alignment vertical="center"/>
    </xf>
    <xf numFmtId="49" fontId="21" fillId="9" borderId="16" xfId="0" applyNumberFormat="1" applyFont="1" applyFill="1" applyBorder="1"/>
    <xf numFmtId="49" fontId="21" fillId="9" borderId="24" xfId="0" applyNumberFormat="1" applyFont="1" applyFill="1" applyBorder="1"/>
    <xf numFmtId="49" fontId="21" fillId="14" borderId="33" xfId="0" applyNumberFormat="1" applyFont="1" applyFill="1" applyBorder="1"/>
    <xf numFmtId="6" fontId="21" fillId="14" borderId="38" xfId="1" applyNumberFormat="1" applyFont="1" applyFill="1" applyBorder="1" applyAlignment="1">
      <alignment horizontal="right"/>
    </xf>
    <xf numFmtId="42" fontId="6" fillId="3" borderId="59" xfId="1" applyNumberFormat="1" applyFont="1" applyFill="1" applyBorder="1" applyAlignment="1"/>
    <xf numFmtId="42" fontId="6" fillId="3" borderId="38" xfId="1" applyNumberFormat="1" applyFont="1" applyFill="1" applyBorder="1" applyAlignment="1"/>
    <xf numFmtId="42" fontId="6" fillId="3" borderId="60" xfId="1" applyNumberFormat="1" applyFont="1" applyFill="1" applyBorder="1" applyAlignment="1"/>
    <xf numFmtId="42" fontId="6" fillId="3" borderId="61" xfId="1" applyNumberFormat="1" applyFont="1" applyFill="1" applyBorder="1" applyAlignment="1"/>
    <xf numFmtId="41" fontId="27" fillId="0" borderId="27" xfId="0" applyNumberFormat="1" applyFont="1" applyBorder="1" applyAlignment="1">
      <alignment vertical="center"/>
    </xf>
    <xf numFmtId="42" fontId="27" fillId="0" borderId="0" xfId="0" applyNumberFormat="1" applyFont="1" applyAlignment="1">
      <alignment vertical="center"/>
    </xf>
    <xf numFmtId="42" fontId="0" fillId="0" borderId="0" xfId="0" applyNumberFormat="1" applyAlignment="1">
      <alignment vertical="center"/>
    </xf>
    <xf numFmtId="41" fontId="33" fillId="0" borderId="49" xfId="1" applyNumberFormat="1" applyFont="1" applyFill="1" applyBorder="1" applyAlignment="1"/>
    <xf numFmtId="14" fontId="0" fillId="0" borderId="46" xfId="0" applyNumberFormat="1" applyBorder="1" applyAlignment="1">
      <alignment horizontal="center"/>
    </xf>
    <xf numFmtId="6" fontId="0" fillId="0" borderId="56" xfId="0" applyNumberFormat="1" applyBorder="1" applyAlignment="1">
      <alignment horizontal="right"/>
    </xf>
    <xf numFmtId="44" fontId="0" fillId="0" borderId="0" xfId="0" applyNumberFormat="1" applyAlignment="1">
      <alignment vertical="center"/>
    </xf>
    <xf numFmtId="42" fontId="11" fillId="0" borderId="0" xfId="0" applyNumberFormat="1" applyFont="1" applyAlignment="1">
      <alignment vertical="center"/>
    </xf>
    <xf numFmtId="0" fontId="27" fillId="0" borderId="0" xfId="0" applyFont="1" applyAlignment="1">
      <alignment vertical="center"/>
    </xf>
    <xf numFmtId="0" fontId="14" fillId="0" borderId="0" xfId="0" applyFont="1" applyAlignment="1">
      <alignment vertical="center"/>
    </xf>
    <xf numFmtId="0" fontId="27" fillId="0" borderId="27" xfId="0" applyFont="1" applyBorder="1" applyAlignment="1">
      <alignment vertical="center"/>
    </xf>
    <xf numFmtId="41" fontId="16" fillId="0" borderId="30" xfId="0" applyNumberFormat="1" applyFont="1" applyBorder="1" applyAlignment="1">
      <alignment horizontal="center" vertical="center"/>
    </xf>
    <xf numFmtId="49" fontId="18" fillId="0" borderId="27" xfId="0" applyNumberFormat="1" applyFont="1" applyBorder="1" applyAlignment="1">
      <alignment vertical="center"/>
    </xf>
    <xf numFmtId="49" fontId="14" fillId="0" borderId="0" xfId="0" applyNumberFormat="1" applyFont="1" applyAlignment="1">
      <alignment wrapText="1"/>
    </xf>
    <xf numFmtId="166" fontId="29" fillId="0" borderId="27" xfId="0" applyNumberFormat="1" applyFont="1" applyBorder="1" applyAlignment="1">
      <alignment horizontal="center" vertical="center" wrapText="1"/>
    </xf>
    <xf numFmtId="41" fontId="11" fillId="0" borderId="0" xfId="0" applyNumberFormat="1" applyFont="1"/>
    <xf numFmtId="10" fontId="14" fillId="0" borderId="0" xfId="0" applyNumberFormat="1" applyFont="1" applyAlignment="1">
      <alignment vertical="center"/>
    </xf>
    <xf numFmtId="0" fontId="27" fillId="0" borderId="30" xfId="0" applyFont="1" applyBorder="1" applyAlignment="1">
      <alignment horizontal="center" vertical="center"/>
    </xf>
    <xf numFmtId="165" fontId="10" fillId="0" borderId="0" xfId="0" applyNumberFormat="1" applyFont="1" applyAlignment="1">
      <alignment horizontal="center" vertical="center"/>
    </xf>
    <xf numFmtId="165" fontId="10" fillId="0" borderId="27" xfId="0" applyNumberFormat="1" applyFont="1" applyBorder="1" applyAlignment="1">
      <alignment horizontal="center" vertical="center"/>
    </xf>
    <xf numFmtId="0" fontId="27" fillId="0" borderId="30" xfId="0" applyFont="1" applyBorder="1" applyAlignment="1">
      <alignment horizontal="right" vertical="center"/>
    </xf>
    <xf numFmtId="8" fontId="45" fillId="0" borderId="0" xfId="0" applyNumberFormat="1" applyFont="1" applyAlignment="1">
      <alignment vertical="center"/>
    </xf>
    <xf numFmtId="0" fontId="45" fillId="0" borderId="0" xfId="0" applyFont="1" applyAlignment="1">
      <alignment vertical="center"/>
    </xf>
    <xf numFmtId="0" fontId="45" fillId="0" borderId="0" xfId="0" applyFont="1"/>
    <xf numFmtId="8" fontId="45" fillId="0" borderId="0" xfId="0" applyNumberFormat="1" applyFont="1"/>
    <xf numFmtId="0" fontId="0" fillId="9" borderId="34" xfId="0" applyFill="1" applyBorder="1" applyAlignment="1">
      <alignment horizontal="center"/>
    </xf>
    <xf numFmtId="38" fontId="0" fillId="9" borderId="39" xfId="0" applyNumberFormat="1" applyFill="1" applyBorder="1" applyAlignment="1">
      <alignment horizontal="center"/>
    </xf>
    <xf numFmtId="38" fontId="0" fillId="9" borderId="37" xfId="0" applyNumberFormat="1" applyFill="1" applyBorder="1" applyAlignment="1">
      <alignment horizontal="center"/>
    </xf>
    <xf numFmtId="165" fontId="46" fillId="0" borderId="0" xfId="0" applyNumberFormat="1" applyFont="1" applyAlignment="1">
      <alignment horizontal="center" vertical="center"/>
    </xf>
    <xf numFmtId="6" fontId="22" fillId="9" borderId="0" xfId="0" applyNumberFormat="1" applyFont="1" applyFill="1"/>
    <xf numFmtId="6" fontId="21" fillId="9" borderId="19" xfId="0" applyNumberFormat="1" applyFont="1" applyFill="1" applyBorder="1" applyAlignment="1">
      <alignment horizontal="center"/>
    </xf>
    <xf numFmtId="38" fontId="21" fillId="9" borderId="9" xfId="1" applyNumberFormat="1" applyFont="1" applyFill="1" applyBorder="1" applyAlignment="1">
      <alignment horizontal="right"/>
    </xf>
    <xf numFmtId="38" fontId="21" fillId="9" borderId="1" xfId="1" applyNumberFormat="1" applyFont="1" applyFill="1" applyBorder="1" applyAlignment="1">
      <alignment horizontal="right"/>
    </xf>
    <xf numFmtId="6" fontId="21" fillId="0" borderId="0" xfId="1" applyNumberFormat="1" applyFont="1" applyFill="1" applyBorder="1" applyAlignment="1">
      <alignment horizontal="right"/>
    </xf>
    <xf numFmtId="6" fontId="21" fillId="15" borderId="38" xfId="1" applyNumberFormat="1" applyFont="1" applyFill="1" applyBorder="1" applyAlignment="1">
      <alignment horizontal="right"/>
    </xf>
    <xf numFmtId="38" fontId="21" fillId="15" borderId="38" xfId="1" applyNumberFormat="1" applyFont="1" applyFill="1" applyBorder="1" applyAlignment="1">
      <alignment horizontal="right"/>
    </xf>
    <xf numFmtId="42" fontId="6" fillId="2" borderId="44" xfId="0" applyNumberFormat="1" applyFont="1" applyFill="1" applyBorder="1"/>
    <xf numFmtId="40" fontId="48" fillId="0" borderId="0" xfId="0" applyNumberFormat="1" applyFont="1" applyAlignment="1">
      <alignment horizontal="center" vertical="center"/>
    </xf>
    <xf numFmtId="165" fontId="47" fillId="0" borderId="0" xfId="0" applyNumberFormat="1" applyFont="1" applyAlignment="1">
      <alignment horizontal="center" vertical="center"/>
    </xf>
    <xf numFmtId="167" fontId="38" fillId="0" borderId="0" xfId="0" applyNumberFormat="1" applyFont="1" applyAlignment="1">
      <alignment horizontal="right" wrapText="1"/>
    </xf>
    <xf numFmtId="0" fontId="38" fillId="0" borderId="0" xfId="0" applyFont="1" applyAlignment="1">
      <alignment horizontal="right" wrapText="1"/>
    </xf>
    <xf numFmtId="41" fontId="38" fillId="0" borderId="0" xfId="0" applyNumberFormat="1" applyFont="1" applyAlignment="1">
      <alignment horizontal="center" wrapText="1"/>
    </xf>
    <xf numFmtId="0" fontId="37" fillId="0" borderId="0" xfId="0" applyFont="1" applyAlignment="1">
      <alignment horizontal="left" vertical="center" wrapText="1"/>
    </xf>
    <xf numFmtId="0" fontId="41" fillId="0" borderId="0" xfId="0" quotePrefix="1" applyFont="1" applyAlignment="1">
      <alignment horizontal="center" vertical="center" wrapText="1"/>
    </xf>
    <xf numFmtId="42" fontId="38" fillId="0" borderId="31" xfId="0" applyNumberFormat="1" applyFont="1" applyBorder="1" applyAlignment="1">
      <alignment horizontal="center" vertical="center" wrapText="1"/>
    </xf>
    <xf numFmtId="167" fontId="38" fillId="0" borderId="0" xfId="0" applyNumberFormat="1" applyFont="1" applyAlignment="1">
      <alignment horizontal="center" wrapText="1"/>
    </xf>
    <xf numFmtId="6" fontId="38" fillId="0" borderId="31" xfId="0" applyNumberFormat="1" applyFont="1" applyBorder="1" applyAlignment="1">
      <alignment horizontal="right" wrapText="1"/>
    </xf>
    <xf numFmtId="42" fontId="38" fillId="0" borderId="31" xfId="0" applyNumberFormat="1" applyFont="1" applyBorder="1" applyAlignment="1">
      <alignment horizontal="left" vertical="center" wrapText="1"/>
    </xf>
    <xf numFmtId="0" fontId="44" fillId="0" borderId="0" xfId="0" applyFont="1" applyAlignment="1">
      <alignment horizontal="center" wrapText="1"/>
    </xf>
    <xf numFmtId="0" fontId="37" fillId="0" borderId="0" xfId="0" applyFont="1" applyAlignment="1">
      <alignment horizontal="center" vertical="center" wrapText="1"/>
    </xf>
    <xf numFmtId="0" fontId="38" fillId="0" borderId="0" xfId="0" applyFont="1" applyAlignment="1">
      <alignment horizontal="left" vertical="center" wrapText="1"/>
    </xf>
    <xf numFmtId="41" fontId="38" fillId="0" borderId="0" xfId="0" applyNumberFormat="1" applyFont="1" applyAlignment="1">
      <alignment horizontal="center" vertical="center" wrapText="1"/>
    </xf>
    <xf numFmtId="0" fontId="41" fillId="0" borderId="0" xfId="0" applyFont="1" applyAlignment="1">
      <alignment horizontal="center" vertical="center" wrapText="1"/>
    </xf>
    <xf numFmtId="38" fontId="22" fillId="9" borderId="9" xfId="1" applyNumberFormat="1" applyFont="1" applyFill="1" applyBorder="1" applyAlignment="1">
      <alignment horizontal="right"/>
    </xf>
    <xf numFmtId="38" fontId="22" fillId="9" borderId="10" xfId="1" applyNumberFormat="1" applyFont="1" applyFill="1" applyBorder="1" applyAlignment="1">
      <alignment horizontal="right"/>
    </xf>
    <xf numFmtId="38" fontId="22" fillId="12" borderId="9" xfId="1" applyNumberFormat="1" applyFont="1" applyFill="1" applyBorder="1" applyAlignment="1">
      <alignment horizontal="right"/>
    </xf>
    <xf numFmtId="38" fontId="22" fillId="12" borderId="10" xfId="1" applyNumberFormat="1" applyFont="1" applyFill="1" applyBorder="1" applyAlignment="1">
      <alignment horizontal="right"/>
    </xf>
    <xf numFmtId="6" fontId="21" fillId="13" borderId="33" xfId="0" applyNumberFormat="1" applyFont="1" applyFill="1" applyBorder="1" applyAlignment="1">
      <alignment horizontal="center" vertical="center"/>
    </xf>
    <xf numFmtId="49" fontId="21" fillId="15" borderId="33" xfId="0" applyNumberFormat="1" applyFont="1" applyFill="1" applyBorder="1" applyAlignment="1">
      <alignment vertical="center"/>
    </xf>
    <xf numFmtId="49" fontId="21" fillId="15" borderId="32" xfId="0" applyNumberFormat="1" applyFont="1" applyFill="1" applyBorder="1" applyAlignment="1">
      <alignment vertical="center"/>
    </xf>
    <xf numFmtId="49" fontId="21" fillId="16" borderId="33" xfId="0" applyNumberFormat="1" applyFont="1" applyFill="1" applyBorder="1"/>
    <xf numFmtId="6" fontId="21" fillId="16" borderId="38" xfId="1" applyNumberFormat="1" applyFont="1" applyFill="1" applyBorder="1" applyAlignment="1">
      <alignment horizontal="right"/>
    </xf>
    <xf numFmtId="38" fontId="21" fillId="16" borderId="38" xfId="1" applyNumberFormat="1" applyFont="1" applyFill="1" applyBorder="1" applyAlignment="1">
      <alignment horizontal="right"/>
    </xf>
    <xf numFmtId="49" fontId="21" fillId="16" borderId="32" xfId="0" applyNumberFormat="1" applyFont="1" applyFill="1" applyBorder="1" applyAlignment="1">
      <alignment vertical="center"/>
    </xf>
    <xf numFmtId="165" fontId="47" fillId="0" borderId="27" xfId="0" applyNumberFormat="1" applyFont="1" applyBorder="1" applyAlignment="1">
      <alignment horizontal="center" vertical="center"/>
    </xf>
    <xf numFmtId="42" fontId="27" fillId="0" borderId="31" xfId="0" applyNumberFormat="1" applyFont="1" applyBorder="1" applyAlignment="1">
      <alignment vertical="center"/>
    </xf>
    <xf numFmtId="41" fontId="18" fillId="0" borderId="19" xfId="0" applyNumberFormat="1" applyFont="1" applyBorder="1" applyAlignment="1">
      <alignment vertical="center"/>
    </xf>
    <xf numFmtId="42" fontId="18" fillId="0" borderId="27" xfId="0" applyNumberFormat="1" applyFont="1" applyBorder="1" applyAlignment="1">
      <alignment vertical="center"/>
    </xf>
    <xf numFmtId="42" fontId="18" fillId="0" borderId="31" xfId="0" applyNumberFormat="1" applyFont="1" applyBorder="1" applyAlignment="1">
      <alignment vertical="center"/>
    </xf>
    <xf numFmtId="0" fontId="6" fillId="0" borderId="0" xfId="0" applyFont="1" applyAlignment="1">
      <alignment horizontal="center" vertical="center" wrapText="1"/>
    </xf>
    <xf numFmtId="41" fontId="6" fillId="0" borderId="0" xfId="0" applyNumberFormat="1" applyFont="1" applyAlignment="1">
      <alignment horizontal="center" vertical="center" wrapText="1"/>
    </xf>
    <xf numFmtId="3" fontId="0" fillId="0" borderId="0" xfId="0" applyNumberFormat="1" applyAlignment="1">
      <alignment vertical="center"/>
    </xf>
    <xf numFmtId="0" fontId="41" fillId="0" borderId="0" xfId="0" applyFont="1" applyAlignment="1">
      <alignment horizontal="right" vertical="center" wrapText="1"/>
    </xf>
    <xf numFmtId="42" fontId="38" fillId="0" borderId="0" xfId="0" applyNumberFormat="1" applyFont="1" applyAlignment="1">
      <alignment horizontal="center" vertical="center" wrapText="1"/>
    </xf>
    <xf numFmtId="17" fontId="0" fillId="0" borderId="0" xfId="0" applyNumberFormat="1"/>
    <xf numFmtId="0" fontId="37" fillId="0" borderId="0" xfId="0" applyFont="1" applyAlignment="1">
      <alignment horizontal="left" vertical="top" wrapText="1"/>
    </xf>
    <xf numFmtId="0" fontId="24" fillId="0" borderId="11" xfId="0" applyFont="1" applyBorder="1" applyAlignment="1">
      <alignment horizontal="center"/>
    </xf>
    <xf numFmtId="17" fontId="0" fillId="0" borderId="11" xfId="0" applyNumberFormat="1" applyBorder="1" applyAlignment="1">
      <alignment horizontal="center" vertical="center" wrapText="1"/>
    </xf>
    <xf numFmtId="42" fontId="0" fillId="0" borderId="11" xfId="0" applyNumberFormat="1" applyBorder="1" applyAlignment="1">
      <alignment horizontal="center" vertical="center" wrapText="1"/>
    </xf>
    <xf numFmtId="0" fontId="52" fillId="0" borderId="0" xfId="0" applyFont="1" applyAlignment="1">
      <alignment horizontal="left" vertical="top" wrapText="1"/>
    </xf>
    <xf numFmtId="0" fontId="0" fillId="0" borderId="0" xfId="0" applyAlignment="1">
      <alignment horizontal="right" vertical="top" wrapText="1"/>
    </xf>
    <xf numFmtId="0" fontId="0" fillId="0" borderId="11" xfId="0" applyBorder="1" applyAlignment="1">
      <alignment horizontal="center" vertical="center" wrapText="1"/>
    </xf>
    <xf numFmtId="41" fontId="38" fillId="0" borderId="0" xfId="0" applyNumberFormat="1" applyFont="1" applyAlignment="1">
      <alignment horizontal="right" vertical="center" wrapText="1"/>
    </xf>
    <xf numFmtId="42" fontId="9" fillId="2" borderId="44" xfId="0" applyNumberFormat="1" applyFont="1" applyFill="1" applyBorder="1"/>
    <xf numFmtId="38" fontId="11" fillId="0" borderId="64" xfId="0" applyNumberFormat="1" applyFont="1" applyBorder="1" applyAlignment="1">
      <alignment horizontal="center"/>
    </xf>
    <xf numFmtId="38" fontId="11" fillId="0" borderId="0" xfId="0" applyNumberFormat="1" applyFont="1"/>
    <xf numFmtId="38" fontId="54" fillId="0" borderId="0" xfId="0" applyNumberFormat="1" applyFont="1"/>
    <xf numFmtId="38" fontId="53" fillId="0" borderId="0" xfId="0" applyNumberFormat="1" applyFont="1"/>
    <xf numFmtId="168" fontId="55" fillId="0" borderId="0" xfId="0" applyNumberFormat="1" applyFont="1"/>
    <xf numFmtId="0" fontId="38" fillId="0" borderId="0" xfId="0" applyFont="1" applyAlignment="1">
      <alignment horizontal="center" vertical="center" wrapText="1"/>
    </xf>
    <xf numFmtId="49" fontId="21" fillId="14" borderId="32" xfId="0" applyNumberFormat="1" applyFont="1" applyFill="1" applyBorder="1" applyAlignment="1">
      <alignment vertical="center"/>
    </xf>
    <xf numFmtId="165" fontId="47" fillId="0" borderId="31" xfId="0" applyNumberFormat="1" applyFont="1" applyBorder="1" applyAlignment="1">
      <alignment horizontal="center" vertical="center"/>
    </xf>
    <xf numFmtId="165" fontId="47" fillId="0" borderId="33" xfId="0" applyNumberFormat="1" applyFont="1" applyBorder="1" applyAlignment="1">
      <alignment horizontal="center" vertical="center"/>
    </xf>
    <xf numFmtId="41" fontId="57" fillId="0" borderId="0" xfId="0" applyNumberFormat="1" applyFont="1" applyAlignment="1">
      <alignment vertical="center"/>
    </xf>
    <xf numFmtId="41" fontId="56" fillId="0" borderId="27" xfId="0" applyNumberFormat="1" applyFont="1" applyBorder="1" applyAlignment="1">
      <alignment vertical="center"/>
    </xf>
    <xf numFmtId="165" fontId="47" fillId="0" borderId="2" xfId="0" applyNumberFormat="1" applyFont="1" applyBorder="1" applyAlignment="1">
      <alignment horizontal="center" vertical="center"/>
    </xf>
    <xf numFmtId="41" fontId="57" fillId="0" borderId="2" xfId="0" applyNumberFormat="1" applyFont="1" applyBorder="1" applyAlignment="1">
      <alignment vertical="center"/>
    </xf>
    <xf numFmtId="0" fontId="57" fillId="0" borderId="0" xfId="0" applyFont="1" applyAlignment="1">
      <alignment vertical="center"/>
    </xf>
    <xf numFmtId="0" fontId="57" fillId="0" borderId="27" xfId="0" applyFont="1" applyBorder="1" applyAlignment="1">
      <alignment vertical="center"/>
    </xf>
    <xf numFmtId="38" fontId="22" fillId="9" borderId="1" xfId="1" applyNumberFormat="1" applyFont="1" applyFill="1" applyBorder="1" applyAlignment="1">
      <alignment horizontal="right"/>
    </xf>
    <xf numFmtId="168" fontId="58" fillId="0" borderId="0" xfId="0" applyNumberFormat="1" applyFont="1"/>
    <xf numFmtId="3" fontId="54" fillId="0" borderId="0" xfId="0" applyNumberFormat="1" applyFont="1"/>
    <xf numFmtId="168" fontId="11" fillId="0" borderId="64" xfId="0" applyNumberFormat="1" applyFont="1" applyBorder="1" applyAlignment="1">
      <alignment horizontal="center"/>
    </xf>
    <xf numFmtId="168" fontId="11" fillId="0" borderId="0" xfId="0" applyNumberFormat="1" applyFont="1"/>
    <xf numFmtId="168" fontId="54" fillId="0" borderId="0" xfId="0" applyNumberFormat="1" applyFont="1"/>
    <xf numFmtId="168" fontId="0" fillId="0" borderId="0" xfId="0" applyNumberFormat="1"/>
    <xf numFmtId="38" fontId="0" fillId="0" borderId="11" xfId="0" applyNumberFormat="1" applyBorder="1"/>
    <xf numFmtId="0" fontId="59" fillId="0" borderId="0" xfId="0" applyFont="1" applyAlignment="1">
      <alignment horizontal="center"/>
    </xf>
    <xf numFmtId="0" fontId="60" fillId="0" borderId="0" xfId="0" applyFont="1"/>
    <xf numFmtId="0" fontId="8" fillId="0" borderId="0" xfId="0" applyFont="1" applyAlignment="1">
      <alignment horizontal="center" vertical="center"/>
    </xf>
    <xf numFmtId="0" fontId="8" fillId="0" borderId="0" xfId="0" applyFont="1" applyAlignment="1">
      <alignment vertical="center"/>
    </xf>
    <xf numFmtId="41" fontId="8" fillId="0" borderId="0" xfId="0" applyNumberFormat="1" applyFont="1" applyAlignment="1">
      <alignment vertical="center"/>
    </xf>
    <xf numFmtId="41" fontId="22" fillId="0" borderId="0" xfId="0" applyNumberFormat="1" applyFont="1" applyAlignment="1">
      <alignment vertical="center"/>
    </xf>
    <xf numFmtId="43" fontId="8" fillId="0" borderId="0" xfId="0" applyNumberFormat="1" applyFont="1" applyAlignment="1">
      <alignment vertical="center"/>
    </xf>
    <xf numFmtId="0" fontId="21" fillId="0" borderId="0" xfId="0" applyFont="1" applyAlignment="1">
      <alignment vertical="center"/>
    </xf>
    <xf numFmtId="17" fontId="0" fillId="0" borderId="0" xfId="0" applyNumberFormat="1" applyAlignment="1">
      <alignment horizontal="center" vertical="center" wrapText="1"/>
    </xf>
    <xf numFmtId="0" fontId="0" fillId="0" borderId="0" xfId="0" applyAlignment="1">
      <alignment horizontal="center" vertical="center" wrapText="1"/>
    </xf>
    <xf numFmtId="44" fontId="0" fillId="0" borderId="0" xfId="1" applyFont="1" applyFill="1" applyBorder="1" applyAlignment="1">
      <alignment horizontal="center" vertical="center" wrapText="1"/>
    </xf>
    <xf numFmtId="17" fontId="6" fillId="0" borderId="11" xfId="0" applyNumberFormat="1" applyFont="1" applyBorder="1" applyAlignment="1">
      <alignment horizontal="center" vertical="center" wrapText="1"/>
    </xf>
    <xf numFmtId="0" fontId="6" fillId="0" borderId="11" xfId="0" applyFont="1" applyBorder="1" applyAlignment="1">
      <alignment horizontal="center" vertical="center" wrapText="1"/>
    </xf>
    <xf numFmtId="44" fontId="6" fillId="0" borderId="11" xfId="1" applyFont="1" applyFill="1" applyBorder="1" applyAlignment="1">
      <alignment horizontal="center" vertical="center" wrapText="1"/>
    </xf>
    <xf numFmtId="41" fontId="6" fillId="0" borderId="11" xfId="0" applyNumberFormat="1" applyFont="1" applyBorder="1" applyAlignment="1">
      <alignment horizontal="center" vertical="center" wrapText="1"/>
    </xf>
    <xf numFmtId="44" fontId="61" fillId="0" borderId="11" xfId="1" applyFont="1" applyFill="1" applyBorder="1" applyAlignment="1">
      <alignment horizontal="center" vertical="center" wrapText="1"/>
    </xf>
    <xf numFmtId="42" fontId="38" fillId="0" borderId="0" xfId="0" applyNumberFormat="1" applyFont="1" applyAlignment="1">
      <alignment horizontal="left" vertical="center" wrapText="1"/>
    </xf>
    <xf numFmtId="0" fontId="62" fillId="0" borderId="0" xfId="0" applyFont="1" applyAlignment="1">
      <alignment horizontal="left"/>
    </xf>
    <xf numFmtId="0" fontId="59" fillId="0" borderId="0" xfId="0" applyFont="1"/>
    <xf numFmtId="38" fontId="10" fillId="0" borderId="0" xfId="0" applyNumberFormat="1" applyFont="1" applyAlignment="1">
      <alignment horizontal="right"/>
    </xf>
    <xf numFmtId="3" fontId="54" fillId="2" borderId="0" xfId="0" applyNumberFormat="1" applyFont="1" applyFill="1"/>
    <xf numFmtId="38" fontId="53" fillId="2" borderId="0" xfId="0" applyNumberFormat="1" applyFont="1" applyFill="1"/>
    <xf numFmtId="0" fontId="35" fillId="0" borderId="45" xfId="0" applyFont="1" applyBorder="1" applyAlignment="1">
      <alignment horizontal="center"/>
    </xf>
    <xf numFmtId="38" fontId="35" fillId="0" borderId="45" xfId="0" applyNumberFormat="1" applyFont="1" applyBorder="1" applyAlignment="1">
      <alignment horizontal="center" vertical="center"/>
    </xf>
    <xf numFmtId="0" fontId="35" fillId="0" borderId="46" xfId="0" applyFont="1" applyBorder="1" applyAlignment="1">
      <alignment horizontal="center"/>
    </xf>
    <xf numFmtId="38" fontId="35" fillId="0" borderId="46" xfId="0" applyNumberFormat="1" applyFont="1" applyBorder="1" applyAlignment="1">
      <alignment horizontal="center" vertical="center"/>
    </xf>
    <xf numFmtId="0" fontId="65" fillId="0" borderId="46" xfId="0" applyFont="1" applyBorder="1" applyAlignment="1">
      <alignment horizontal="center"/>
    </xf>
    <xf numFmtId="14" fontId="0" fillId="0" borderId="47" xfId="0" applyNumberFormat="1" applyBorder="1" applyAlignment="1">
      <alignment horizontal="center"/>
    </xf>
    <xf numFmtId="38" fontId="0" fillId="0" borderId="48" xfId="0" applyNumberFormat="1" applyBorder="1" applyAlignment="1">
      <alignment horizontal="center"/>
    </xf>
    <xf numFmtId="38" fontId="0" fillId="0" borderId="47" xfId="0" applyNumberFormat="1" applyBorder="1" applyAlignment="1">
      <alignment horizontal="center"/>
    </xf>
    <xf numFmtId="14" fontId="0" fillId="0" borderId="62" xfId="0" applyNumberFormat="1" applyBorder="1" applyAlignment="1">
      <alignment horizontal="center"/>
    </xf>
    <xf numFmtId="38" fontId="0" fillId="0" borderId="62" xfId="0" applyNumberFormat="1" applyBorder="1" applyAlignment="1">
      <alignment horizontal="center"/>
    </xf>
    <xf numFmtId="38" fontId="0" fillId="0" borderId="58" xfId="0" applyNumberFormat="1" applyBorder="1" applyAlignment="1">
      <alignment horizontal="center"/>
    </xf>
    <xf numFmtId="38" fontId="0" fillId="0" borderId="49" xfId="0" applyNumberFormat="1" applyBorder="1" applyAlignment="1">
      <alignment horizontal="center"/>
    </xf>
    <xf numFmtId="0" fontId="35" fillId="0" borderId="44" xfId="0" applyFont="1" applyBorder="1" applyAlignment="1">
      <alignment horizontal="center" vertical="center"/>
    </xf>
    <xf numFmtId="38" fontId="35" fillId="0" borderId="44" xfId="0" applyNumberFormat="1" applyFont="1" applyBorder="1" applyAlignment="1">
      <alignment horizontal="center" vertical="center"/>
    </xf>
    <xf numFmtId="14" fontId="0" fillId="0" borderId="48" xfId="0" applyNumberFormat="1" applyBorder="1" applyAlignment="1">
      <alignment horizontal="center"/>
    </xf>
    <xf numFmtId="14" fontId="0" fillId="0" borderId="65" xfId="0" applyNumberFormat="1" applyBorder="1" applyAlignment="1">
      <alignment horizontal="center"/>
    </xf>
    <xf numFmtId="38" fontId="0" fillId="0" borderId="65" xfId="0" applyNumberFormat="1" applyBorder="1" applyAlignment="1">
      <alignment horizontal="center"/>
    </xf>
    <xf numFmtId="38" fontId="0" fillId="0" borderId="46" xfId="0" applyNumberFormat="1" applyBorder="1" applyAlignment="1">
      <alignment horizontal="center"/>
    </xf>
    <xf numFmtId="0" fontId="35" fillId="0" borderId="0" xfId="0" applyFont="1" applyAlignment="1">
      <alignment horizontal="center"/>
    </xf>
    <xf numFmtId="38" fontId="35" fillId="0" borderId="28" xfId="0" applyNumberFormat="1" applyFont="1" applyBorder="1" applyAlignment="1">
      <alignment horizontal="center"/>
    </xf>
    <xf numFmtId="38" fontId="0" fillId="0" borderId="66" xfId="0" applyNumberFormat="1" applyBorder="1" applyAlignment="1">
      <alignment horizontal="center" vertical="center"/>
    </xf>
    <xf numFmtId="38" fontId="0" fillId="0" borderId="8" xfId="0" applyNumberFormat="1" applyBorder="1" applyAlignment="1">
      <alignment horizontal="center" vertical="center"/>
    </xf>
    <xf numFmtId="38" fontId="0" fillId="0" borderId="8" xfId="0" applyNumberFormat="1" applyBorder="1" applyAlignment="1">
      <alignment horizontal="center"/>
    </xf>
    <xf numFmtId="38" fontId="0" fillId="0" borderId="1" xfId="0" applyNumberFormat="1" applyBorder="1" applyAlignment="1">
      <alignment horizontal="center" vertical="center"/>
    </xf>
    <xf numFmtId="38" fontId="0" fillId="0" borderId="9" xfId="0" applyNumberFormat="1" applyBorder="1" applyAlignment="1">
      <alignment horizontal="center" vertical="center"/>
    </xf>
    <xf numFmtId="38" fontId="0" fillId="0" borderId="9" xfId="0" applyNumberFormat="1" applyBorder="1" applyAlignment="1">
      <alignment horizontal="center"/>
    </xf>
    <xf numFmtId="38" fontId="0" fillId="0" borderId="4" xfId="0" applyNumberFormat="1" applyBorder="1" applyAlignment="1">
      <alignment horizontal="center" vertical="center"/>
    </xf>
    <xf numFmtId="38" fontId="0" fillId="0" borderId="10" xfId="0" applyNumberFormat="1" applyBorder="1" applyAlignment="1">
      <alignment horizontal="center" vertical="center"/>
    </xf>
    <xf numFmtId="38" fontId="0" fillId="0" borderId="67" xfId="0" applyNumberFormat="1" applyBorder="1" applyAlignment="1">
      <alignment horizontal="center" vertical="center"/>
    </xf>
    <xf numFmtId="38" fontId="0" fillId="0" borderId="10" xfId="0" applyNumberFormat="1" applyBorder="1" applyAlignment="1">
      <alignment horizontal="center"/>
    </xf>
    <xf numFmtId="0" fontId="66" fillId="0" borderId="0" xfId="0" applyFont="1"/>
    <xf numFmtId="169" fontId="0" fillId="0" borderId="11" xfId="1" applyNumberFormat="1" applyFont="1" applyBorder="1"/>
    <xf numFmtId="38" fontId="24" fillId="0" borderId="11" xfId="0" applyNumberFormat="1" applyFont="1" applyBorder="1"/>
    <xf numFmtId="169" fontId="24" fillId="0" borderId="11" xfId="1" applyNumberFormat="1" applyFont="1" applyBorder="1"/>
    <xf numFmtId="169" fontId="24" fillId="0" borderId="11" xfId="0" applyNumberFormat="1" applyFont="1" applyBorder="1"/>
    <xf numFmtId="43" fontId="18" fillId="0" borderId="0" xfId="0" applyNumberFormat="1" applyFont="1" applyAlignment="1">
      <alignment vertical="center"/>
    </xf>
    <xf numFmtId="0" fontId="24" fillId="0" borderId="0" xfId="0" applyFont="1" applyAlignment="1">
      <alignment horizontal="center" wrapText="1"/>
    </xf>
    <xf numFmtId="169" fontId="0" fillId="0" borderId="0" xfId="0" applyNumberFormat="1" applyAlignment="1">
      <alignment horizontal="center"/>
    </xf>
    <xf numFmtId="169" fontId="67" fillId="0" borderId="0" xfId="0" applyNumberFormat="1" applyFont="1" applyAlignment="1">
      <alignment horizontal="center"/>
    </xf>
    <xf numFmtId="169" fontId="24" fillId="0" borderId="0" xfId="0" applyNumberFormat="1" applyFont="1" applyAlignment="1">
      <alignment horizontal="center"/>
    </xf>
    <xf numFmtId="42" fontId="0" fillId="0" borderId="11" xfId="0" applyNumberFormat="1" applyBorder="1"/>
    <xf numFmtId="43" fontId="0" fillId="0" borderId="0" xfId="0" applyNumberFormat="1"/>
    <xf numFmtId="44" fontId="53" fillId="0" borderId="11" xfId="1" applyFont="1" applyFill="1" applyBorder="1" applyAlignment="1">
      <alignment horizontal="center" vertical="center" wrapText="1"/>
    </xf>
    <xf numFmtId="41" fontId="0" fillId="0" borderId="11" xfId="1" applyNumberFormat="1" applyFont="1" applyBorder="1"/>
    <xf numFmtId="6" fontId="22" fillId="9" borderId="2" xfId="0" applyNumberFormat="1" applyFont="1" applyFill="1" applyBorder="1"/>
    <xf numFmtId="38" fontId="22" fillId="9" borderId="4" xfId="1" applyNumberFormat="1" applyFont="1" applyFill="1" applyBorder="1" applyAlignment="1">
      <alignment horizontal="right"/>
    </xf>
    <xf numFmtId="0" fontId="8" fillId="0" borderId="30" xfId="0" applyFont="1" applyBorder="1" applyAlignment="1">
      <alignment vertical="center"/>
    </xf>
    <xf numFmtId="7" fontId="18" fillId="0" borderId="19" xfId="0" applyNumberFormat="1" applyFont="1" applyBorder="1" applyAlignment="1">
      <alignment vertical="center"/>
    </xf>
    <xf numFmtId="7" fontId="18" fillId="0" borderId="0" xfId="0" applyNumberFormat="1" applyFont="1" applyAlignment="1">
      <alignment vertical="center"/>
    </xf>
    <xf numFmtId="38" fontId="0" fillId="0" borderId="31" xfId="0" applyNumberFormat="1" applyBorder="1" applyAlignment="1">
      <alignment horizontal="right"/>
    </xf>
    <xf numFmtId="0" fontId="24" fillId="0" borderId="11" xfId="0" applyFont="1" applyBorder="1" applyAlignment="1">
      <alignment horizontal="center" vertical="center"/>
    </xf>
    <xf numFmtId="40" fontId="24" fillId="0" borderId="11" xfId="0" applyNumberFormat="1" applyFont="1" applyBorder="1" applyAlignment="1">
      <alignment horizontal="center" vertical="center" wrapText="1"/>
    </xf>
    <xf numFmtId="0" fontId="24" fillId="0" borderId="11" xfId="0" applyFont="1" applyBorder="1" applyAlignment="1">
      <alignment horizontal="center" vertical="center" wrapText="1"/>
    </xf>
    <xf numFmtId="8" fontId="0" fillId="0" borderId="2" xfId="0" applyNumberFormat="1" applyBorder="1" applyAlignment="1">
      <alignment vertical="center"/>
    </xf>
    <xf numFmtId="0" fontId="0" fillId="0" borderId="49" xfId="0" applyBorder="1" applyAlignment="1">
      <alignment horizontal="left"/>
    </xf>
    <xf numFmtId="44" fontId="15" fillId="0" borderId="0" xfId="0" applyNumberFormat="1" applyFont="1" applyAlignment="1">
      <alignment vertical="center"/>
    </xf>
    <xf numFmtId="41" fontId="8" fillId="0" borderId="0" xfId="0" applyNumberFormat="1" applyFont="1" applyAlignment="1">
      <alignment horizontal="left" vertical="center"/>
    </xf>
    <xf numFmtId="49" fontId="59" fillId="0" borderId="0" xfId="0" applyNumberFormat="1" applyFont="1" applyAlignment="1">
      <alignment horizontal="center"/>
    </xf>
    <xf numFmtId="3" fontId="8" fillId="0" borderId="0" xfId="0" applyNumberFormat="1" applyFont="1"/>
    <xf numFmtId="3" fontId="0" fillId="0" borderId="0" xfId="0" applyNumberFormat="1" applyAlignment="1">
      <alignment horizontal="right"/>
    </xf>
    <xf numFmtId="3" fontId="20" fillId="0" borderId="0" xfId="0" applyNumberFormat="1" applyFont="1" applyAlignment="1">
      <alignment horizontal="center"/>
    </xf>
    <xf numFmtId="3" fontId="21" fillId="5" borderId="36" xfId="0" applyNumberFormat="1" applyFont="1" applyFill="1" applyBorder="1"/>
    <xf numFmtId="3" fontId="22" fillId="5" borderId="17" xfId="1" applyNumberFormat="1" applyFont="1" applyFill="1" applyBorder="1" applyAlignment="1">
      <alignment horizontal="right"/>
    </xf>
    <xf numFmtId="3" fontId="21" fillId="0" borderId="0" xfId="0" applyNumberFormat="1" applyFont="1" applyAlignment="1">
      <alignment horizontal="right"/>
    </xf>
    <xf numFmtId="3" fontId="22" fillId="6" borderId="36" xfId="0" applyNumberFormat="1" applyFont="1" applyFill="1" applyBorder="1" applyAlignment="1">
      <alignment horizontal="right"/>
    </xf>
    <xf numFmtId="3" fontId="22" fillId="6" borderId="17" xfId="1" applyNumberFormat="1" applyFont="1" applyFill="1" applyBorder="1" applyAlignment="1">
      <alignment horizontal="right"/>
    </xf>
    <xf numFmtId="3" fontId="21" fillId="0" borderId="0" xfId="1" applyNumberFormat="1" applyFont="1" applyBorder="1" applyAlignment="1">
      <alignment horizontal="right"/>
    </xf>
    <xf numFmtId="3" fontId="22" fillId="7" borderId="36" xfId="1" applyNumberFormat="1" applyFont="1" applyFill="1" applyBorder="1" applyAlignment="1">
      <alignment horizontal="right"/>
    </xf>
    <xf numFmtId="3" fontId="22" fillId="7" borderId="17" xfId="1" applyNumberFormat="1" applyFont="1" applyFill="1" applyBorder="1" applyAlignment="1">
      <alignment horizontal="right"/>
    </xf>
    <xf numFmtId="3" fontId="21" fillId="7" borderId="21" xfId="1" applyNumberFormat="1" applyFont="1" applyFill="1" applyBorder="1" applyAlignment="1">
      <alignment horizontal="right"/>
    </xf>
    <xf numFmtId="3" fontId="21" fillId="0" borderId="0" xfId="1" applyNumberFormat="1" applyFont="1" applyFill="1" applyBorder="1" applyAlignment="1">
      <alignment horizontal="right"/>
    </xf>
    <xf numFmtId="3" fontId="22" fillId="10" borderId="36" xfId="1" applyNumberFormat="1" applyFont="1" applyFill="1" applyBorder="1" applyAlignment="1">
      <alignment horizontal="right"/>
    </xf>
    <xf numFmtId="3" fontId="22" fillId="10" borderId="17" xfId="1" applyNumberFormat="1" applyFont="1" applyFill="1" applyBorder="1" applyAlignment="1">
      <alignment horizontal="right"/>
    </xf>
    <xf numFmtId="3" fontId="21" fillId="10" borderId="21" xfId="1" applyNumberFormat="1" applyFont="1" applyFill="1" applyBorder="1" applyAlignment="1">
      <alignment horizontal="right"/>
    </xf>
    <xf numFmtId="3" fontId="22" fillId="8" borderId="36" xfId="1" applyNumberFormat="1" applyFont="1" applyFill="1" applyBorder="1" applyAlignment="1">
      <alignment horizontal="right"/>
    </xf>
    <xf numFmtId="3" fontId="22" fillId="8" borderId="17" xfId="1" applyNumberFormat="1" applyFont="1" applyFill="1" applyBorder="1" applyAlignment="1">
      <alignment horizontal="right"/>
    </xf>
    <xf numFmtId="3" fontId="21" fillId="8" borderId="21" xfId="1" applyNumberFormat="1" applyFont="1" applyFill="1" applyBorder="1" applyAlignment="1">
      <alignment horizontal="right"/>
    </xf>
    <xf numFmtId="3" fontId="21" fillId="8" borderId="36" xfId="1" applyNumberFormat="1" applyFont="1" applyFill="1" applyBorder="1" applyAlignment="1">
      <alignment horizontal="right"/>
    </xf>
    <xf numFmtId="3" fontId="21" fillId="11" borderId="36" xfId="1" applyNumberFormat="1" applyFont="1" applyFill="1" applyBorder="1" applyAlignment="1">
      <alignment horizontal="right"/>
    </xf>
    <xf numFmtId="3" fontId="22" fillId="11" borderId="17" xfId="1" applyNumberFormat="1" applyFont="1" applyFill="1" applyBorder="1" applyAlignment="1">
      <alignment horizontal="right"/>
    </xf>
    <xf numFmtId="3" fontId="8" fillId="0" borderId="0" xfId="1" applyNumberFormat="1" applyFont="1" applyBorder="1" applyAlignment="1">
      <alignment horizontal="right"/>
    </xf>
    <xf numFmtId="3" fontId="0" fillId="9" borderId="36" xfId="0" applyNumberFormat="1" applyFill="1" applyBorder="1" applyAlignment="1">
      <alignment horizontal="center"/>
    </xf>
    <xf numFmtId="3" fontId="21" fillId="9" borderId="17" xfId="1" applyNumberFormat="1" applyFont="1" applyFill="1" applyBorder="1" applyAlignment="1">
      <alignment horizontal="right"/>
    </xf>
    <xf numFmtId="3" fontId="21" fillId="9" borderId="63" xfId="1" applyNumberFormat="1" applyFont="1" applyFill="1" applyBorder="1" applyAlignment="1">
      <alignment horizontal="right"/>
    </xf>
    <xf numFmtId="3" fontId="21" fillId="12" borderId="41" xfId="1" applyNumberFormat="1" applyFont="1" applyFill="1" applyBorder="1" applyAlignment="1">
      <alignment horizontal="right"/>
    </xf>
    <xf numFmtId="3" fontId="21" fillId="12" borderId="29" xfId="1" applyNumberFormat="1" applyFont="1" applyFill="1" applyBorder="1" applyAlignment="1">
      <alignment horizontal="right"/>
    </xf>
    <xf numFmtId="3" fontId="21" fillId="12" borderId="43" xfId="1" applyNumberFormat="1" applyFont="1" applyFill="1" applyBorder="1" applyAlignment="1">
      <alignment horizontal="right"/>
    </xf>
    <xf numFmtId="3" fontId="21" fillId="12" borderId="40" xfId="1" applyNumberFormat="1" applyFont="1" applyFill="1" applyBorder="1" applyAlignment="1">
      <alignment horizontal="right"/>
    </xf>
    <xf numFmtId="3" fontId="21" fillId="16" borderId="42" xfId="1" applyNumberFormat="1" applyFont="1" applyFill="1" applyBorder="1" applyAlignment="1">
      <alignment horizontal="right"/>
    </xf>
    <xf numFmtId="3" fontId="21" fillId="15" borderId="42" xfId="1" applyNumberFormat="1" applyFont="1" applyFill="1" applyBorder="1" applyAlignment="1">
      <alignment horizontal="right"/>
    </xf>
    <xf numFmtId="170" fontId="7" fillId="13" borderId="38" xfId="1" applyNumberFormat="1" applyFont="1" applyFill="1" applyBorder="1" applyAlignment="1">
      <alignment horizontal="right"/>
    </xf>
    <xf numFmtId="49" fontId="21" fillId="0" borderId="0" xfId="0" applyNumberFormat="1" applyFont="1" applyAlignment="1">
      <alignment vertical="center"/>
    </xf>
    <xf numFmtId="44" fontId="9" fillId="0" borderId="0" xfId="0" applyNumberFormat="1" applyFont="1"/>
    <xf numFmtId="43" fontId="0" fillId="0" borderId="27" xfId="0" applyNumberFormat="1" applyBorder="1" applyAlignment="1">
      <alignment vertical="center"/>
    </xf>
    <xf numFmtId="6" fontId="38" fillId="0" borderId="0" xfId="0" applyNumberFormat="1" applyFont="1" applyAlignment="1">
      <alignment horizontal="center" wrapText="1"/>
    </xf>
    <xf numFmtId="0" fontId="37" fillId="0" borderId="0" xfId="0" applyFont="1" applyAlignment="1">
      <alignment horizontal="left" wrapText="1"/>
    </xf>
    <xf numFmtId="40" fontId="68" fillId="0" borderId="45" xfId="0" applyNumberFormat="1" applyFont="1" applyBorder="1" applyAlignment="1">
      <alignment horizontal="center"/>
    </xf>
    <xf numFmtId="166" fontId="22" fillId="0" borderId="27" xfId="0" applyNumberFormat="1" applyFont="1" applyBorder="1" applyAlignment="1">
      <alignment horizontal="center"/>
    </xf>
    <xf numFmtId="165" fontId="38" fillId="0" borderId="0" xfId="0" applyNumberFormat="1" applyFont="1" applyAlignment="1">
      <alignment horizontal="center" wrapText="1"/>
    </xf>
    <xf numFmtId="165" fontId="38" fillId="0" borderId="31" xfId="0" applyNumberFormat="1" applyFont="1" applyBorder="1" applyAlignment="1">
      <alignment horizontal="center" wrapText="1"/>
    </xf>
    <xf numFmtId="0" fontId="21" fillId="0" borderId="0" xfId="0" applyFont="1" applyAlignment="1">
      <alignment horizontal="right" vertical="center"/>
    </xf>
    <xf numFmtId="165" fontId="7" fillId="0" borderId="0" xfId="0" applyNumberFormat="1" applyFont="1" applyAlignment="1">
      <alignment horizontal="right" vertical="center"/>
    </xf>
    <xf numFmtId="6" fontId="21" fillId="0" borderId="0" xfId="0" applyNumberFormat="1" applyFont="1"/>
    <xf numFmtId="6" fontId="21" fillId="0" borderId="0" xfId="0" applyNumberFormat="1" applyFont="1" applyAlignment="1">
      <alignment horizontal="center" vertical="center"/>
    </xf>
    <xf numFmtId="6" fontId="7" fillId="0" borderId="0" xfId="1" applyNumberFormat="1" applyFont="1" applyFill="1" applyBorder="1" applyAlignment="1">
      <alignment horizontal="right"/>
    </xf>
    <xf numFmtId="170" fontId="7" fillId="0" borderId="0" xfId="1" applyNumberFormat="1" applyFont="1" applyFill="1" applyBorder="1" applyAlignment="1">
      <alignment horizontal="right"/>
    </xf>
    <xf numFmtId="0" fontId="38" fillId="0" borderId="0" xfId="0" applyFont="1" applyAlignment="1">
      <alignment horizontal="left" wrapText="1"/>
    </xf>
    <xf numFmtId="10" fontId="0" fillId="0" borderId="0" xfId="0" applyNumberFormat="1" applyAlignment="1">
      <alignment horizontal="center"/>
    </xf>
    <xf numFmtId="14" fontId="0" fillId="0" borderId="0" xfId="0" applyNumberFormat="1"/>
    <xf numFmtId="1" fontId="0" fillId="0" borderId="0" xfId="4" applyNumberFormat="1" applyFont="1" applyBorder="1"/>
    <xf numFmtId="38" fontId="0" fillId="0" borderId="3" xfId="0" applyNumberFormat="1" applyBorder="1"/>
    <xf numFmtId="10" fontId="0" fillId="0" borderId="3" xfId="0" applyNumberFormat="1" applyBorder="1" applyAlignment="1">
      <alignment horizontal="center"/>
    </xf>
    <xf numFmtId="6" fontId="0" fillId="0" borderId="31" xfId="0" applyNumberFormat="1" applyBorder="1"/>
    <xf numFmtId="44" fontId="0" fillId="0" borderId="0" xfId="0" applyNumberFormat="1"/>
    <xf numFmtId="1" fontId="0" fillId="0" borderId="0" xfId="4" applyNumberFormat="1" applyFont="1" applyFill="1" applyBorder="1"/>
    <xf numFmtId="9" fontId="0" fillId="0" borderId="11" xfId="4" applyFont="1" applyBorder="1" applyAlignment="1">
      <alignment horizontal="center"/>
    </xf>
    <xf numFmtId="9" fontId="24" fillId="0" borderId="11" xfId="0" applyNumberFormat="1" applyFont="1" applyBorder="1" applyAlignment="1">
      <alignment horizontal="center"/>
    </xf>
    <xf numFmtId="37" fontId="0" fillId="0" borderId="11" xfId="1" applyNumberFormat="1" applyFont="1" applyBorder="1"/>
    <xf numFmtId="43" fontId="17" fillId="0" borderId="0" xfId="0" applyNumberFormat="1" applyFont="1" applyAlignment="1">
      <alignment vertical="center"/>
    </xf>
    <xf numFmtId="43" fontId="57" fillId="0" borderId="0" xfId="0" applyNumberFormat="1" applyFont="1" applyAlignment="1">
      <alignment vertical="center"/>
    </xf>
    <xf numFmtId="41" fontId="57" fillId="0" borderId="0" xfId="0" applyNumberFormat="1" applyFont="1" applyAlignment="1">
      <alignment horizontal="right" vertical="center"/>
    </xf>
    <xf numFmtId="2" fontId="0" fillId="0" borderId="0" xfId="0" applyNumberFormat="1"/>
    <xf numFmtId="2" fontId="0" fillId="0" borderId="0" xfId="1" applyNumberFormat="1" applyFont="1" applyFill="1" applyBorder="1" applyAlignment="1"/>
    <xf numFmtId="49" fontId="21" fillId="17" borderId="32" xfId="0" applyNumberFormat="1" applyFont="1" applyFill="1" applyBorder="1" applyAlignment="1">
      <alignment vertical="center"/>
    </xf>
    <xf numFmtId="49" fontId="21" fillId="17" borderId="33" xfId="0" applyNumberFormat="1" applyFont="1" applyFill="1" applyBorder="1" applyAlignment="1">
      <alignment vertical="center"/>
    </xf>
    <xf numFmtId="6" fontId="21" fillId="17" borderId="68" xfId="1" applyNumberFormat="1" applyFont="1" applyFill="1" applyBorder="1" applyAlignment="1">
      <alignment horizontal="right"/>
    </xf>
    <xf numFmtId="38" fontId="21" fillId="17" borderId="68" xfId="1" applyNumberFormat="1" applyFont="1" applyFill="1" applyBorder="1" applyAlignment="1">
      <alignment horizontal="right"/>
    </xf>
    <xf numFmtId="3" fontId="21" fillId="17" borderId="60" xfId="1" applyNumberFormat="1" applyFont="1" applyFill="1" applyBorder="1" applyAlignment="1">
      <alignment horizontal="right"/>
    </xf>
    <xf numFmtId="38" fontId="33" fillId="0" borderId="45" xfId="1" applyNumberFormat="1" applyFont="1" applyFill="1" applyBorder="1" applyAlignment="1"/>
    <xf numFmtId="14" fontId="0" fillId="0" borderId="49" xfId="0" applyNumberFormat="1" applyBorder="1" applyAlignment="1">
      <alignment horizontal="left"/>
    </xf>
    <xf numFmtId="165" fontId="0" fillId="0" borderId="0" xfId="1" applyNumberFormat="1" applyFont="1" applyFill="1" applyBorder="1" applyAlignment="1">
      <alignment vertical="center"/>
    </xf>
    <xf numFmtId="10" fontId="0" fillId="0" borderId="0" xfId="0" applyNumberFormat="1" applyAlignment="1">
      <alignment vertical="center"/>
    </xf>
    <xf numFmtId="40" fontId="0" fillId="0" borderId="0" xfId="0" applyNumberFormat="1" applyAlignment="1">
      <alignment vertical="center"/>
    </xf>
    <xf numFmtId="4" fontId="0" fillId="0" borderId="0" xfId="0" applyNumberFormat="1" applyAlignment="1">
      <alignment vertical="center"/>
    </xf>
    <xf numFmtId="0" fontId="0" fillId="2" borderId="0" xfId="0" applyFill="1" applyAlignment="1">
      <alignment vertical="center"/>
    </xf>
    <xf numFmtId="14" fontId="0" fillId="0" borderId="58" xfId="0" applyNumberFormat="1" applyBorder="1" applyAlignment="1">
      <alignment horizontal="center"/>
    </xf>
    <xf numFmtId="40" fontId="0" fillId="0" borderId="0" xfId="0" applyNumberFormat="1" applyAlignment="1">
      <alignment horizontal="right"/>
    </xf>
    <xf numFmtId="41" fontId="14" fillId="0" borderId="6" xfId="0" applyNumberFormat="1" applyFont="1" applyBorder="1" applyAlignment="1">
      <alignment vertical="center"/>
    </xf>
    <xf numFmtId="4" fontId="27" fillId="0" borderId="0" xfId="0" applyNumberFormat="1" applyFont="1"/>
    <xf numFmtId="4" fontId="27" fillId="0" borderId="0" xfId="0" applyNumberFormat="1" applyFont="1" applyAlignment="1">
      <alignment horizontal="center" vertical="center"/>
    </xf>
    <xf numFmtId="4" fontId="27" fillId="0" borderId="0" xfId="0" applyNumberFormat="1" applyFont="1" applyAlignment="1">
      <alignment vertical="center"/>
    </xf>
    <xf numFmtId="4" fontId="14" fillId="0" borderId="0" xfId="0" applyNumberFormat="1" applyFont="1" applyAlignment="1">
      <alignment vertical="center"/>
    </xf>
    <xf numFmtId="170" fontId="21" fillId="6" borderId="21" xfId="1" applyNumberFormat="1" applyFont="1" applyFill="1" applyBorder="1" applyAlignment="1">
      <alignment horizontal="right"/>
    </xf>
    <xf numFmtId="41" fontId="0" fillId="0" borderId="46" xfId="1" applyNumberFormat="1" applyFont="1" applyFill="1" applyBorder="1" applyAlignment="1">
      <alignment horizontal="center"/>
    </xf>
    <xf numFmtId="41" fontId="0" fillId="0" borderId="45" xfId="1" applyNumberFormat="1" applyFont="1" applyFill="1" applyBorder="1" applyAlignment="1"/>
    <xf numFmtId="0" fontId="24" fillId="0" borderId="11" xfId="0" applyFont="1" applyBorder="1" applyAlignment="1">
      <alignment horizontal="center" vertical="top" wrapText="1"/>
    </xf>
    <xf numFmtId="49" fontId="18" fillId="0" borderId="0" xfId="0" applyNumberFormat="1" applyFont="1" applyAlignment="1">
      <alignment horizontal="left" vertical="center"/>
    </xf>
    <xf numFmtId="168" fontId="2" fillId="0" borderId="0" xfId="0" applyNumberFormat="1" applyFont="1"/>
    <xf numFmtId="166" fontId="22" fillId="0" borderId="27" xfId="0" applyNumberFormat="1" applyFont="1" applyBorder="1" applyAlignment="1">
      <alignment horizontal="center" vertical="center" wrapText="1"/>
    </xf>
    <xf numFmtId="42" fontId="22" fillId="0" borderId="27" xfId="0" applyNumberFormat="1" applyFont="1" applyBorder="1" applyAlignment="1">
      <alignment horizontal="center" vertical="center" wrapText="1"/>
    </xf>
    <xf numFmtId="3" fontId="58" fillId="0" borderId="0" xfId="0" applyNumberFormat="1" applyFont="1"/>
    <xf numFmtId="3" fontId="53" fillId="0" borderId="0" xfId="0" applyNumberFormat="1" applyFont="1"/>
    <xf numFmtId="37" fontId="37" fillId="0" borderId="0" xfId="0" applyNumberFormat="1" applyFont="1" applyAlignment="1">
      <alignment horizontal="center" vertical="center" wrapText="1"/>
    </xf>
    <xf numFmtId="41" fontId="27" fillId="0" borderId="6" xfId="0" applyNumberFormat="1" applyFont="1" applyBorder="1" applyAlignment="1">
      <alignment vertical="center"/>
    </xf>
    <xf numFmtId="165" fontId="47" fillId="0" borderId="6" xfId="0" applyNumberFormat="1" applyFont="1" applyBorder="1" applyAlignment="1">
      <alignment horizontal="center" vertical="center"/>
    </xf>
    <xf numFmtId="38" fontId="27" fillId="0" borderId="0" xfId="0" applyNumberFormat="1" applyFont="1" applyAlignment="1">
      <alignment vertical="center"/>
    </xf>
    <xf numFmtId="38" fontId="18" fillId="0" borderId="2" xfId="0" applyNumberFormat="1" applyFont="1" applyBorder="1" applyAlignment="1">
      <alignment vertical="center"/>
    </xf>
    <xf numFmtId="49" fontId="20" fillId="0" borderId="0" xfId="0" applyNumberFormat="1" applyFont="1" applyAlignment="1">
      <alignment horizontal="left" vertical="center"/>
    </xf>
    <xf numFmtId="41" fontId="57" fillId="0" borderId="6" xfId="0" applyNumberFormat="1" applyFont="1" applyBorder="1" applyAlignment="1">
      <alignment vertical="center"/>
    </xf>
    <xf numFmtId="41" fontId="14" fillId="0" borderId="31" xfId="0" applyNumberFormat="1" applyFont="1" applyBorder="1" applyAlignment="1">
      <alignment vertical="center"/>
    </xf>
    <xf numFmtId="43" fontId="27" fillId="0" borderId="0" xfId="0" applyNumberFormat="1" applyFont="1"/>
    <xf numFmtId="49" fontId="22" fillId="0" borderId="0" xfId="0" applyNumberFormat="1" applyFont="1" applyAlignment="1">
      <alignment vertical="center"/>
    </xf>
    <xf numFmtId="0" fontId="22" fillId="0" borderId="0" xfId="0" applyFont="1"/>
    <xf numFmtId="38" fontId="0" fillId="0" borderId="0" xfId="1" applyNumberFormat="1" applyFont="1" applyFill="1" applyBorder="1" applyAlignment="1"/>
    <xf numFmtId="40" fontId="6" fillId="3" borderId="33" xfId="0" applyNumberFormat="1" applyFont="1" applyFill="1" applyBorder="1" applyAlignment="1">
      <alignment horizontal="center" vertical="center" wrapText="1"/>
    </xf>
    <xf numFmtId="41" fontId="0" fillId="0" borderId="2" xfId="1" applyNumberFormat="1" applyFont="1" applyFill="1" applyBorder="1" applyAlignment="1"/>
    <xf numFmtId="10" fontId="18" fillId="0" borderId="0" xfId="0" applyNumberFormat="1" applyFont="1" applyAlignment="1">
      <alignment vertical="center"/>
    </xf>
    <xf numFmtId="0" fontId="0" fillId="0" borderId="45" xfId="0" applyBorder="1"/>
    <xf numFmtId="14" fontId="0" fillId="0" borderId="45" xfId="0" applyNumberFormat="1" applyBorder="1" applyAlignment="1">
      <alignment horizontal="center"/>
    </xf>
    <xf numFmtId="14" fontId="0" fillId="0" borderId="27" xfId="0" applyNumberFormat="1" applyBorder="1" applyAlignment="1">
      <alignment horizontal="center"/>
    </xf>
    <xf numFmtId="41" fontId="0" fillId="0" borderId="27" xfId="1" applyNumberFormat="1" applyFont="1" applyFill="1" applyBorder="1" applyAlignment="1"/>
    <xf numFmtId="40" fontId="6" fillId="0" borderId="42" xfId="0" applyNumberFormat="1" applyFont="1" applyBorder="1" applyAlignment="1">
      <alignment horizontal="center"/>
    </xf>
    <xf numFmtId="38" fontId="0" fillId="0" borderId="45" xfId="1" applyNumberFormat="1" applyFont="1" applyFill="1" applyBorder="1" applyAlignment="1"/>
    <xf numFmtId="0" fontId="0" fillId="0" borderId="16" xfId="0" applyBorder="1" applyAlignment="1">
      <alignment horizontal="left"/>
    </xf>
    <xf numFmtId="0" fontId="0" fillId="0" borderId="0" xfId="0" applyAlignment="1">
      <alignment horizontal="left"/>
    </xf>
    <xf numFmtId="0" fontId="0" fillId="0" borderId="29" xfId="0" applyBorder="1" applyAlignment="1">
      <alignment horizontal="left"/>
    </xf>
    <xf numFmtId="14" fontId="0" fillId="0" borderId="2" xfId="0" applyNumberFormat="1" applyBorder="1" applyAlignment="1">
      <alignment horizontal="center"/>
    </xf>
    <xf numFmtId="14" fontId="0" fillId="0" borderId="3" xfId="0" applyNumberFormat="1" applyBorder="1" applyAlignment="1">
      <alignment horizontal="center"/>
    </xf>
    <xf numFmtId="171" fontId="0" fillId="0" borderId="0" xfId="1" applyNumberFormat="1" applyFont="1" applyFill="1" applyBorder="1" applyAlignment="1"/>
    <xf numFmtId="10" fontId="0" fillId="0" borderId="0" xfId="1" applyNumberFormat="1" applyFont="1" applyFill="1" applyBorder="1" applyAlignment="1"/>
    <xf numFmtId="14" fontId="0" fillId="0" borderId="2" xfId="0" applyNumberFormat="1" applyBorder="1" applyAlignment="1">
      <alignment horizontal="center" vertical="center"/>
    </xf>
    <xf numFmtId="14" fontId="0" fillId="0" borderId="48" xfId="0" applyNumberFormat="1" applyBorder="1" applyAlignment="1">
      <alignment horizontal="center" vertical="center"/>
    </xf>
    <xf numFmtId="14" fontId="0" fillId="0" borderId="0" xfId="0" applyNumberFormat="1" applyAlignment="1">
      <alignment horizontal="center" vertical="center"/>
    </xf>
    <xf numFmtId="14" fontId="0" fillId="0" borderId="49" xfId="0" applyNumberFormat="1" applyBorder="1" applyAlignment="1">
      <alignment horizontal="center" vertical="center"/>
    </xf>
    <xf numFmtId="42" fontId="6" fillId="3" borderId="69" xfId="0" applyNumberFormat="1" applyFont="1" applyFill="1" applyBorder="1"/>
    <xf numFmtId="42" fontId="6" fillId="3" borderId="44" xfId="0" applyNumberFormat="1" applyFont="1" applyFill="1" applyBorder="1"/>
    <xf numFmtId="42" fontId="0" fillId="0" borderId="8" xfId="0" applyNumberFormat="1" applyBorder="1" applyAlignment="1">
      <alignment horizontal="left" vertical="top" wrapText="1"/>
    </xf>
    <xf numFmtId="42" fontId="0" fillId="0" borderId="0" xfId="0" applyNumberFormat="1" applyAlignment="1">
      <alignment horizontal="left" vertical="top" wrapText="1"/>
    </xf>
    <xf numFmtId="6" fontId="21" fillId="9" borderId="69" xfId="1" applyNumberFormat="1" applyFont="1" applyFill="1" applyBorder="1" applyAlignment="1">
      <alignment horizontal="right"/>
    </xf>
    <xf numFmtId="42" fontId="18" fillId="0" borderId="27" xfId="0" applyNumberFormat="1" applyFont="1" applyBorder="1" applyAlignment="1">
      <alignment horizontal="center" vertical="center" wrapText="1"/>
    </xf>
    <xf numFmtId="166" fontId="18" fillId="0" borderId="27" xfId="0" applyNumberFormat="1" applyFont="1" applyBorder="1" applyAlignment="1">
      <alignment horizontal="center" vertical="center" wrapText="1"/>
    </xf>
    <xf numFmtId="49" fontId="14" fillId="0" borderId="0" xfId="0" quotePrefix="1" applyNumberFormat="1" applyFont="1" applyAlignment="1">
      <alignment vertical="center"/>
    </xf>
    <xf numFmtId="49" fontId="70" fillId="18" borderId="34" xfId="0" applyNumberFormat="1" applyFont="1" applyFill="1" applyBorder="1" applyAlignment="1">
      <alignment vertical="center"/>
    </xf>
    <xf numFmtId="49" fontId="70" fillId="18" borderId="28" xfId="0" applyNumberFormat="1" applyFont="1" applyFill="1" applyBorder="1" applyAlignment="1">
      <alignment vertical="center"/>
    </xf>
    <xf numFmtId="6" fontId="70" fillId="18" borderId="8" xfId="1" applyNumberFormat="1" applyFont="1" applyFill="1" applyBorder="1" applyAlignment="1">
      <alignment horizontal="right"/>
    </xf>
    <xf numFmtId="0" fontId="8" fillId="0" borderId="27" xfId="0" applyFont="1" applyBorder="1"/>
    <xf numFmtId="170" fontId="21" fillId="5" borderId="20" xfId="1" applyNumberFormat="1" applyFont="1" applyFill="1" applyBorder="1" applyAlignment="1">
      <alignment horizontal="right"/>
    </xf>
    <xf numFmtId="170" fontId="21" fillId="5" borderId="21" xfId="1" applyNumberFormat="1" applyFont="1" applyFill="1" applyBorder="1" applyAlignment="1">
      <alignment horizontal="right"/>
    </xf>
    <xf numFmtId="6" fontId="21" fillId="8" borderId="21" xfId="1" applyNumberFormat="1" applyFont="1" applyFill="1" applyBorder="1" applyAlignment="1">
      <alignment horizontal="right"/>
    </xf>
    <xf numFmtId="6" fontId="21" fillId="11" borderId="21" xfId="1" applyNumberFormat="1" applyFont="1" applyFill="1" applyBorder="1" applyAlignment="1">
      <alignment horizontal="right"/>
    </xf>
    <xf numFmtId="6" fontId="21" fillId="9" borderId="50" xfId="1" applyNumberFormat="1" applyFont="1" applyFill="1" applyBorder="1" applyAlignment="1">
      <alignment horizontal="right"/>
    </xf>
    <xf numFmtId="6" fontId="21" fillId="14" borderId="42" xfId="1" applyNumberFormat="1" applyFont="1" applyFill="1" applyBorder="1" applyAlignment="1">
      <alignment horizontal="right"/>
    </xf>
    <xf numFmtId="38" fontId="70" fillId="18" borderId="41" xfId="1" applyNumberFormat="1" applyFont="1" applyFill="1" applyBorder="1" applyAlignment="1">
      <alignment horizontal="right"/>
    </xf>
    <xf numFmtId="38" fontId="70" fillId="18" borderId="8" xfId="1" applyNumberFormat="1" applyFont="1" applyFill="1" applyBorder="1" applyAlignment="1">
      <alignment horizontal="right"/>
    </xf>
    <xf numFmtId="10" fontId="27" fillId="0" borderId="0" xfId="0" applyNumberFormat="1" applyFont="1" applyAlignment="1">
      <alignment vertical="center"/>
    </xf>
    <xf numFmtId="49" fontId="21" fillId="2" borderId="53" xfId="0" applyNumberFormat="1" applyFont="1" applyFill="1" applyBorder="1" applyAlignment="1">
      <alignment vertical="center"/>
    </xf>
    <xf numFmtId="49" fontId="21" fillId="2" borderId="54" xfId="0" applyNumberFormat="1" applyFont="1" applyFill="1" applyBorder="1" applyAlignment="1">
      <alignment vertical="center"/>
    </xf>
    <xf numFmtId="6" fontId="21" fillId="2" borderId="54" xfId="1" applyNumberFormat="1" applyFont="1" applyFill="1" applyBorder="1" applyAlignment="1">
      <alignment horizontal="right"/>
    </xf>
    <xf numFmtId="38" fontId="21" fillId="2" borderId="54" xfId="1" applyNumberFormat="1" applyFont="1" applyFill="1" applyBorder="1" applyAlignment="1">
      <alignment horizontal="right"/>
    </xf>
    <xf numFmtId="3" fontId="21" fillId="2" borderId="55" xfId="1" applyNumberFormat="1" applyFont="1" applyFill="1" applyBorder="1" applyAlignment="1">
      <alignment horizontal="right"/>
    </xf>
    <xf numFmtId="49" fontId="21" fillId="2" borderId="26" xfId="0" applyNumberFormat="1" applyFont="1" applyFill="1" applyBorder="1" applyAlignment="1">
      <alignment vertical="center"/>
    </xf>
    <xf numFmtId="49" fontId="21" fillId="2" borderId="20" xfId="0" applyNumberFormat="1" applyFont="1" applyFill="1" applyBorder="1" applyAlignment="1">
      <alignment vertical="center"/>
    </xf>
    <xf numFmtId="6" fontId="21" fillId="2" borderId="20" xfId="1" applyNumberFormat="1" applyFont="1" applyFill="1" applyBorder="1" applyAlignment="1">
      <alignment horizontal="right"/>
    </xf>
    <xf numFmtId="38" fontId="21" fillId="2" borderId="20" xfId="1" applyNumberFormat="1" applyFont="1" applyFill="1" applyBorder="1" applyAlignment="1">
      <alignment horizontal="right"/>
    </xf>
    <xf numFmtId="3" fontId="21" fillId="2" borderId="21" xfId="1" applyNumberFormat="1" applyFont="1" applyFill="1" applyBorder="1" applyAlignment="1">
      <alignment horizontal="right"/>
    </xf>
    <xf numFmtId="0" fontId="6" fillId="3" borderId="33" xfId="0" applyFont="1" applyFill="1" applyBorder="1" applyAlignment="1">
      <alignment horizontal="center" vertical="center"/>
    </xf>
    <xf numFmtId="41" fontId="18" fillId="2" borderId="0" xfId="0" applyNumberFormat="1" applyFont="1" applyFill="1" applyAlignment="1">
      <alignment vertical="center"/>
    </xf>
    <xf numFmtId="44" fontId="6" fillId="0" borderId="0" xfId="0" applyNumberFormat="1" applyFont="1" applyAlignment="1">
      <alignment horizontal="center" vertical="center" wrapText="1"/>
    </xf>
    <xf numFmtId="38" fontId="13" fillId="0" borderId="0" xfId="0" applyNumberFormat="1" applyFont="1"/>
    <xf numFmtId="38" fontId="0" fillId="0" borderId="0" xfId="0" applyNumberFormat="1" applyAlignment="1">
      <alignment horizontal="center" vertical="center"/>
    </xf>
    <xf numFmtId="38" fontId="0" fillId="0" borderId="0" xfId="0" applyNumberFormat="1" applyAlignment="1">
      <alignment horizontal="right" vertical="center"/>
    </xf>
    <xf numFmtId="38" fontId="0" fillId="0" borderId="0" xfId="0" applyNumberFormat="1" applyAlignment="1">
      <alignment vertical="center"/>
    </xf>
    <xf numFmtId="49" fontId="14" fillId="0" borderId="33" xfId="0" applyNumberFormat="1" applyFont="1" applyBorder="1" applyAlignment="1">
      <alignment vertical="center"/>
    </xf>
    <xf numFmtId="42" fontId="22" fillId="0" borderId="33" xfId="0" applyNumberFormat="1" applyFont="1" applyBorder="1" applyAlignment="1">
      <alignment horizontal="center" vertical="center" wrapText="1"/>
    </xf>
    <xf numFmtId="38" fontId="0" fillId="0" borderId="0" xfId="0" applyNumberFormat="1" applyAlignment="1">
      <alignment horizontal="right" vertical="center" wrapText="1"/>
    </xf>
    <xf numFmtId="49" fontId="22" fillId="0" borderId="0" xfId="0" applyNumberFormat="1" applyFont="1" applyAlignment="1">
      <alignment horizontal="left" vertical="center"/>
    </xf>
    <xf numFmtId="49" fontId="21" fillId="0" borderId="30" xfId="0" applyNumberFormat="1" applyFont="1" applyBorder="1" applyAlignment="1">
      <alignment horizontal="left" vertical="center"/>
    </xf>
    <xf numFmtId="0" fontId="0" fillId="0" borderId="30" xfId="0" applyBorder="1"/>
    <xf numFmtId="41" fontId="14" fillId="0" borderId="30" xfId="0" applyNumberFormat="1" applyFont="1" applyBorder="1" applyAlignment="1">
      <alignment vertical="center"/>
    </xf>
    <xf numFmtId="0" fontId="14" fillId="0" borderId="0" xfId="0" applyFont="1"/>
    <xf numFmtId="0" fontId="5" fillId="0" borderId="0" xfId="0" applyFont="1"/>
    <xf numFmtId="0" fontId="20" fillId="0" borderId="0" xfId="0" applyFont="1"/>
    <xf numFmtId="49" fontId="18" fillId="2" borderId="0" xfId="0" applyNumberFormat="1" applyFont="1" applyFill="1" applyAlignment="1">
      <alignment vertical="center"/>
    </xf>
    <xf numFmtId="49" fontId="14" fillId="2" borderId="0" xfId="0" applyNumberFormat="1" applyFont="1" applyFill="1" applyAlignment="1">
      <alignment vertical="center"/>
    </xf>
    <xf numFmtId="40" fontId="0" fillId="0" borderId="0" xfId="0" applyNumberFormat="1" applyAlignment="1">
      <alignment horizontal="center" vertical="center"/>
    </xf>
    <xf numFmtId="40" fontId="8" fillId="0" borderId="0" xfId="0" applyNumberFormat="1" applyFont="1" applyAlignment="1">
      <alignment horizontal="center" vertical="center"/>
    </xf>
    <xf numFmtId="0" fontId="17" fillId="0" borderId="56" xfId="0" applyFont="1" applyBorder="1" applyAlignment="1">
      <alignment vertical="center"/>
    </xf>
    <xf numFmtId="40" fontId="17" fillId="0" borderId="0" xfId="0" applyNumberFormat="1" applyFont="1" applyAlignment="1">
      <alignment vertical="center"/>
    </xf>
    <xf numFmtId="14" fontId="17" fillId="0" borderId="0" xfId="0" applyNumberFormat="1" applyFont="1" applyAlignment="1">
      <alignment horizontal="center" vertical="center"/>
    </xf>
    <xf numFmtId="40" fontId="8" fillId="0" borderId="0" xfId="0" applyNumberFormat="1" applyFont="1" applyAlignment="1">
      <alignment vertical="center"/>
    </xf>
    <xf numFmtId="8" fontId="6" fillId="0" borderId="0" xfId="0" applyNumberFormat="1" applyFont="1" applyAlignment="1">
      <alignment horizontal="center" vertical="center" wrapText="1"/>
    </xf>
    <xf numFmtId="6" fontId="18" fillId="0" borderId="0" xfId="0" applyNumberFormat="1" applyFont="1" applyAlignment="1">
      <alignment horizontal="right" vertical="center"/>
    </xf>
    <xf numFmtId="172" fontId="18" fillId="0" borderId="19" xfId="0" applyNumberFormat="1" applyFont="1" applyBorder="1" applyAlignment="1">
      <alignment vertical="center"/>
    </xf>
    <xf numFmtId="172" fontId="18" fillId="0" borderId="0" xfId="0" applyNumberFormat="1" applyFont="1" applyAlignment="1">
      <alignment vertical="center"/>
    </xf>
    <xf numFmtId="49" fontId="73" fillId="0" borderId="0" xfId="0" applyNumberFormat="1" applyFont="1" applyAlignment="1">
      <alignment vertical="center"/>
    </xf>
    <xf numFmtId="5" fontId="14" fillId="0" borderId="0" xfId="0" applyNumberFormat="1" applyFont="1" applyAlignment="1">
      <alignment vertical="center"/>
    </xf>
    <xf numFmtId="8" fontId="74" fillId="0" borderId="0" xfId="0" applyNumberFormat="1" applyFont="1" applyAlignment="1">
      <alignment vertical="center"/>
    </xf>
    <xf numFmtId="5" fontId="14" fillId="0" borderId="31" xfId="0" applyNumberFormat="1" applyFont="1" applyBorder="1" applyAlignment="1">
      <alignment vertical="center"/>
    </xf>
    <xf numFmtId="3" fontId="14" fillId="0" borderId="0" xfId="0" applyNumberFormat="1" applyFont="1" applyAlignment="1">
      <alignment vertical="center"/>
    </xf>
    <xf numFmtId="37" fontId="14" fillId="0" borderId="0" xfId="0" applyNumberFormat="1" applyFont="1" applyAlignment="1">
      <alignment vertical="center"/>
    </xf>
    <xf numFmtId="8" fontId="14" fillId="0" borderId="0" xfId="0" applyNumberFormat="1" applyFont="1" applyAlignment="1">
      <alignment vertical="center"/>
    </xf>
    <xf numFmtId="40" fontId="15" fillId="0" borderId="0" xfId="0" applyNumberFormat="1" applyFont="1" applyAlignment="1">
      <alignment vertical="center"/>
    </xf>
    <xf numFmtId="14" fontId="15" fillId="0" borderId="0" xfId="0" applyNumberFormat="1" applyFont="1" applyAlignment="1">
      <alignment horizontal="center" vertical="center"/>
    </xf>
    <xf numFmtId="40" fontId="21" fillId="0" borderId="0" xfId="0" applyNumberFormat="1" applyFont="1" applyAlignment="1">
      <alignment vertical="center"/>
    </xf>
    <xf numFmtId="41" fontId="74" fillId="0" borderId="0" xfId="0" applyNumberFormat="1" applyFont="1"/>
    <xf numFmtId="38" fontId="74" fillId="0" borderId="0" xfId="0" applyNumberFormat="1" applyFont="1"/>
    <xf numFmtId="8" fontId="74" fillId="0" borderId="0" xfId="0" applyNumberFormat="1" applyFont="1"/>
    <xf numFmtId="0" fontId="6" fillId="3" borderId="42" xfId="0" applyFont="1" applyFill="1" applyBorder="1" applyAlignment="1">
      <alignment horizontal="center" vertical="center"/>
    </xf>
    <xf numFmtId="0" fontId="11" fillId="0" borderId="0" xfId="0" applyFont="1" applyAlignment="1">
      <alignment horizontal="left" vertical="center"/>
    </xf>
    <xf numFmtId="0" fontId="14" fillId="0" borderId="0" xfId="0" applyFont="1" applyAlignment="1">
      <alignment horizontal="left" vertical="center"/>
    </xf>
    <xf numFmtId="0" fontId="0" fillId="0" borderId="0" xfId="0" applyAlignment="1">
      <alignment horizontal="left" vertical="center"/>
    </xf>
    <xf numFmtId="38" fontId="0" fillId="0" borderId="0" xfId="0" applyNumberFormat="1" applyAlignment="1">
      <alignment horizontal="left" vertical="center"/>
    </xf>
    <xf numFmtId="0" fontId="0" fillId="0" borderId="16" xfId="0" applyBorder="1"/>
    <xf numFmtId="0" fontId="0" fillId="0" borderId="24" xfId="0" applyBorder="1"/>
    <xf numFmtId="0" fontId="0" fillId="0" borderId="71" xfId="0" applyBorder="1"/>
    <xf numFmtId="0" fontId="61" fillId="0" borderId="16" xfId="0" applyFont="1" applyBorder="1"/>
    <xf numFmtId="0" fontId="0" fillId="0" borderId="16" xfId="0" applyBorder="1" applyAlignment="1">
      <alignment vertical="center"/>
    </xf>
    <xf numFmtId="0" fontId="0" fillId="0" borderId="24" xfId="0" applyBorder="1" applyAlignment="1">
      <alignment vertical="center"/>
    </xf>
    <xf numFmtId="0" fontId="0" fillId="0" borderId="35" xfId="0" applyBorder="1"/>
    <xf numFmtId="0" fontId="0" fillId="0" borderId="48" xfId="0" applyBorder="1" applyAlignment="1">
      <alignment horizontal="left"/>
    </xf>
    <xf numFmtId="0" fontId="0" fillId="0" borderId="58" xfId="0" applyBorder="1" applyAlignment="1">
      <alignment horizontal="left"/>
    </xf>
    <xf numFmtId="0" fontId="0" fillId="0" borderId="49" xfId="0" applyBorder="1" applyAlignment="1">
      <alignment horizontal="left" vertical="center"/>
    </xf>
    <xf numFmtId="0" fontId="0" fillId="0" borderId="48" xfId="0" applyBorder="1" applyAlignment="1">
      <alignment horizontal="left" vertical="center"/>
    </xf>
    <xf numFmtId="14" fontId="0" fillId="0" borderId="29" xfId="0" applyNumberFormat="1" applyBorder="1" applyAlignment="1">
      <alignment horizontal="center"/>
    </xf>
    <xf numFmtId="40" fontId="6" fillId="3" borderId="32" xfId="0" applyNumberFormat="1" applyFont="1" applyFill="1" applyBorder="1" applyAlignment="1">
      <alignment horizontal="center" vertical="center" wrapText="1"/>
    </xf>
    <xf numFmtId="41" fontId="0" fillId="0" borderId="16" xfId="1" applyNumberFormat="1" applyFont="1" applyFill="1" applyBorder="1" applyAlignment="1"/>
    <xf numFmtId="40" fontId="6" fillId="3" borderId="42" xfId="0" applyNumberFormat="1" applyFont="1" applyFill="1" applyBorder="1" applyAlignment="1">
      <alignment horizontal="center" vertical="center" wrapText="1"/>
    </xf>
    <xf numFmtId="41" fontId="0" fillId="0" borderId="29" xfId="1" applyNumberFormat="1" applyFont="1" applyFill="1" applyBorder="1" applyAlignment="1">
      <alignment horizontal="center"/>
    </xf>
    <xf numFmtId="3" fontId="53" fillId="0" borderId="11" xfId="1" applyNumberFormat="1" applyFont="1" applyFill="1" applyBorder="1" applyAlignment="1">
      <alignment horizontal="center" vertical="center" wrapText="1"/>
    </xf>
    <xf numFmtId="3" fontId="52" fillId="0" borderId="0" xfId="0" applyNumberFormat="1" applyFont="1" applyAlignment="1">
      <alignment horizontal="left" vertical="top" wrapText="1"/>
    </xf>
    <xf numFmtId="5" fontId="0" fillId="0" borderId="10" xfId="0" applyNumberFormat="1" applyBorder="1" applyAlignment="1">
      <alignment horizontal="right" vertical="top" wrapText="1"/>
    </xf>
    <xf numFmtId="5" fontId="61" fillId="0" borderId="11" xfId="0" applyNumberFormat="1" applyFont="1" applyBorder="1" applyAlignment="1">
      <alignment horizontal="right" vertical="center" wrapText="1"/>
    </xf>
    <xf numFmtId="173" fontId="0" fillId="0" borderId="0" xfId="0" applyNumberFormat="1"/>
    <xf numFmtId="42" fontId="18" fillId="2" borderId="0" xfId="0" applyNumberFormat="1" applyFont="1" applyFill="1" applyAlignment="1">
      <alignment vertical="center"/>
    </xf>
    <xf numFmtId="0" fontId="75" fillId="0" borderId="0" xfId="0" applyFont="1" applyAlignment="1">
      <alignment horizontal="center" vertical="center"/>
    </xf>
    <xf numFmtId="37" fontId="18" fillId="0" borderId="0" xfId="0" applyNumberFormat="1" applyFont="1" applyAlignment="1">
      <alignment vertical="center"/>
    </xf>
    <xf numFmtId="42" fontId="18" fillId="2" borderId="27" xfId="0" applyNumberFormat="1" applyFont="1" applyFill="1" applyBorder="1" applyAlignment="1">
      <alignment vertical="center"/>
    </xf>
    <xf numFmtId="6" fontId="37" fillId="0" borderId="0" xfId="0" applyNumberFormat="1" applyFont="1" applyAlignment="1">
      <alignment horizontal="left" vertical="top" wrapText="1"/>
    </xf>
    <xf numFmtId="49" fontId="18" fillId="0" borderId="0" xfId="0" applyNumberFormat="1" applyFont="1"/>
    <xf numFmtId="170" fontId="29" fillId="0" borderId="0" xfId="0" applyNumberFormat="1" applyFont="1" applyAlignment="1">
      <alignment horizontal="right"/>
    </xf>
    <xf numFmtId="3" fontId="29" fillId="0" borderId="0" xfId="0" applyNumberFormat="1" applyFont="1" applyAlignment="1">
      <alignment horizontal="right"/>
    </xf>
    <xf numFmtId="3" fontId="18" fillId="0" borderId="0" xfId="0" applyNumberFormat="1" applyFont="1" applyAlignment="1">
      <alignment horizontal="right" vertical="center"/>
    </xf>
    <xf numFmtId="3" fontId="18" fillId="0" borderId="19" xfId="0" applyNumberFormat="1" applyFont="1" applyBorder="1" applyAlignment="1">
      <alignment vertical="center"/>
    </xf>
    <xf numFmtId="3" fontId="18" fillId="0" borderId="0" xfId="0" applyNumberFormat="1" applyFont="1" applyAlignment="1">
      <alignment vertical="center"/>
    </xf>
    <xf numFmtId="3" fontId="18" fillId="0" borderId="27" xfId="0" applyNumberFormat="1" applyFont="1" applyBorder="1" applyAlignment="1">
      <alignment vertical="center"/>
    </xf>
    <xf numFmtId="3" fontId="14" fillId="0" borderId="3" xfId="0" applyNumberFormat="1" applyFont="1" applyBorder="1" applyAlignment="1">
      <alignment vertical="center"/>
    </xf>
    <xf numFmtId="49" fontId="14" fillId="0" borderId="6" xfId="0" applyNumberFormat="1" applyFont="1" applyBorder="1" applyAlignment="1">
      <alignment vertical="center"/>
    </xf>
    <xf numFmtId="0" fontId="0" fillId="0" borderId="45" xfId="0" applyBorder="1" applyAlignment="1">
      <alignment horizontal="left"/>
    </xf>
    <xf numFmtId="42" fontId="9" fillId="3" borderId="52" xfId="1" applyNumberFormat="1" applyFont="1" applyFill="1" applyBorder="1" applyAlignment="1"/>
    <xf numFmtId="41" fontId="0" fillId="0" borderId="48" xfId="1" applyNumberFormat="1" applyFont="1" applyFill="1" applyBorder="1" applyAlignment="1">
      <alignment horizontal="center"/>
    </xf>
    <xf numFmtId="41" fontId="0" fillId="0" borderId="58" xfId="1" applyNumberFormat="1" applyFont="1" applyFill="1" applyBorder="1" applyAlignment="1"/>
    <xf numFmtId="43" fontId="0" fillId="0" borderId="49" xfId="1" applyNumberFormat="1" applyFont="1" applyFill="1" applyBorder="1" applyAlignment="1"/>
    <xf numFmtId="41" fontId="0" fillId="0" borderId="49" xfId="1" applyNumberFormat="1" applyFont="1" applyFill="1" applyBorder="1" applyAlignment="1">
      <alignment vertical="center"/>
    </xf>
    <xf numFmtId="14" fontId="0" fillId="0" borderId="16" xfId="0" applyNumberFormat="1" applyBorder="1" applyAlignment="1">
      <alignment horizontal="left"/>
    </xf>
    <xf numFmtId="41" fontId="0" fillId="0" borderId="0" xfId="1" applyNumberFormat="1" applyFont="1" applyFill="1" applyBorder="1" applyAlignment="1">
      <alignment horizontal="center"/>
    </xf>
    <xf numFmtId="0" fontId="0" fillId="0" borderId="45" xfId="0" applyBorder="1" applyAlignment="1">
      <alignment horizontal="center"/>
    </xf>
    <xf numFmtId="0" fontId="0" fillId="0" borderId="48" xfId="0" applyBorder="1" applyAlignment="1">
      <alignment horizontal="center"/>
    </xf>
    <xf numFmtId="0" fontId="0" fillId="0" borderId="58" xfId="0" applyBorder="1" applyAlignment="1">
      <alignment horizontal="center"/>
    </xf>
    <xf numFmtId="0" fontId="0" fillId="0" borderId="49" xfId="0" applyBorder="1" applyAlignment="1">
      <alignment horizontal="center" vertical="center"/>
    </xf>
    <xf numFmtId="0" fontId="0" fillId="0" borderId="48" xfId="0" applyBorder="1" applyAlignment="1">
      <alignment horizontal="center" vertical="center"/>
    </xf>
    <xf numFmtId="0" fontId="0" fillId="0" borderId="46" xfId="0" applyBorder="1" applyAlignment="1">
      <alignment horizontal="center"/>
    </xf>
    <xf numFmtId="38" fontId="33" fillId="0" borderId="0" xfId="1" applyNumberFormat="1" applyFont="1" applyFill="1" applyBorder="1" applyAlignment="1"/>
    <xf numFmtId="38" fontId="33" fillId="0" borderId="2" xfId="1" applyNumberFormat="1" applyFont="1" applyFill="1" applyBorder="1" applyAlignment="1"/>
    <xf numFmtId="38" fontId="33" fillId="0" borderId="0" xfId="1" applyNumberFormat="1" applyFont="1" applyFill="1" applyBorder="1" applyAlignment="1">
      <alignment horizontal="right"/>
    </xf>
    <xf numFmtId="38" fontId="33" fillId="0" borderId="2" xfId="1" applyNumberFormat="1" applyFont="1" applyFill="1" applyBorder="1" applyAlignment="1">
      <alignment horizontal="right"/>
    </xf>
    <xf numFmtId="38" fontId="0" fillId="0" borderId="2" xfId="1" applyNumberFormat="1" applyFont="1" applyFill="1" applyBorder="1" applyAlignment="1"/>
    <xf numFmtId="38" fontId="0" fillId="0" borderId="3" xfId="1" applyNumberFormat="1" applyFont="1" applyFill="1" applyBorder="1" applyAlignment="1"/>
    <xf numFmtId="38" fontId="0" fillId="0" borderId="0" xfId="1" applyNumberFormat="1" applyFont="1" applyFill="1" applyBorder="1" applyAlignment="1">
      <alignment horizontal="right"/>
    </xf>
    <xf numFmtId="38" fontId="0" fillId="0" borderId="0" xfId="1" applyNumberFormat="1" applyFont="1" applyFill="1" applyBorder="1" applyAlignment="1">
      <alignment horizontal="right" vertical="center"/>
    </xf>
    <xf numFmtId="38" fontId="0" fillId="0" borderId="2" xfId="1" applyNumberFormat="1" applyFont="1" applyFill="1" applyBorder="1" applyAlignment="1">
      <alignment horizontal="right" vertical="center"/>
    </xf>
    <xf numFmtId="41" fontId="0" fillId="0" borderId="27" xfId="1" applyNumberFormat="1" applyFont="1" applyFill="1" applyBorder="1" applyAlignment="1">
      <alignment horizontal="center"/>
    </xf>
    <xf numFmtId="41" fontId="0" fillId="0" borderId="48" xfId="1" applyNumberFormat="1" applyFont="1" applyFill="1" applyBorder="1" applyAlignment="1">
      <alignment vertical="center"/>
    </xf>
    <xf numFmtId="38" fontId="0" fillId="0" borderId="0" xfId="1" applyNumberFormat="1" applyFont="1" applyFill="1" applyBorder="1" applyAlignment="1">
      <alignment vertical="center"/>
    </xf>
    <xf numFmtId="38" fontId="0" fillId="0" borderId="2" xfId="1" applyNumberFormat="1" applyFont="1" applyFill="1" applyBorder="1" applyAlignment="1">
      <alignment vertical="center"/>
    </xf>
    <xf numFmtId="38" fontId="0" fillId="0" borderId="27" xfId="1" applyNumberFormat="1" applyFont="1" applyFill="1" applyBorder="1" applyAlignment="1"/>
    <xf numFmtId="41" fontId="5" fillId="0" borderId="49" xfId="1" applyNumberFormat="1" applyFont="1" applyFill="1" applyBorder="1" applyAlignment="1"/>
    <xf numFmtId="41" fontId="0" fillId="0" borderId="45" xfId="1" applyNumberFormat="1" applyFont="1" applyFill="1" applyBorder="1" applyAlignment="1">
      <alignment horizontal="center"/>
    </xf>
    <xf numFmtId="49" fontId="70" fillId="18" borderId="16" xfId="0" applyNumberFormat="1" applyFont="1" applyFill="1" applyBorder="1" applyAlignment="1">
      <alignment vertical="center"/>
    </xf>
    <xf numFmtId="49" fontId="70" fillId="18" borderId="0" xfId="0" applyNumberFormat="1" applyFont="1" applyFill="1" applyAlignment="1">
      <alignment vertical="center"/>
    </xf>
    <xf numFmtId="6" fontId="70" fillId="18" borderId="9" xfId="1" applyNumberFormat="1" applyFont="1" applyFill="1" applyBorder="1" applyAlignment="1">
      <alignment horizontal="right"/>
    </xf>
    <xf numFmtId="38" fontId="70" fillId="18" borderId="29" xfId="1" applyNumberFormat="1" applyFont="1" applyFill="1" applyBorder="1" applyAlignment="1">
      <alignment horizontal="right"/>
    </xf>
    <xf numFmtId="49" fontId="70" fillId="18" borderId="32" xfId="0" applyNumberFormat="1" applyFont="1" applyFill="1" applyBorder="1" applyAlignment="1">
      <alignment vertical="center"/>
    </xf>
    <xf numFmtId="49" fontId="70" fillId="18" borderId="33" xfId="0" applyNumberFormat="1" applyFont="1" applyFill="1" applyBorder="1" applyAlignment="1">
      <alignment horizontal="center" vertical="center"/>
    </xf>
    <xf numFmtId="6" fontId="70" fillId="18" borderId="38" xfId="1" applyNumberFormat="1" applyFont="1" applyFill="1" applyBorder="1" applyAlignment="1">
      <alignment horizontal="right"/>
    </xf>
    <xf numFmtId="6" fontId="70" fillId="18" borderId="42" xfId="1" applyNumberFormat="1" applyFont="1" applyFill="1" applyBorder="1" applyAlignment="1">
      <alignment horizontal="right"/>
    </xf>
    <xf numFmtId="41" fontId="27" fillId="0" borderId="2" xfId="0" applyNumberFormat="1" applyFont="1" applyBorder="1" applyAlignment="1">
      <alignment vertical="center"/>
    </xf>
    <xf numFmtId="38" fontId="0" fillId="0" borderId="48" xfId="1" applyNumberFormat="1" applyFont="1" applyFill="1" applyBorder="1" applyAlignment="1"/>
    <xf numFmtId="38" fontId="69" fillId="0" borderId="2" xfId="1" applyNumberFormat="1" applyFont="1" applyFill="1" applyBorder="1" applyAlignment="1">
      <alignment horizontal="right"/>
    </xf>
    <xf numFmtId="3" fontId="0" fillId="0" borderId="0" xfId="0" applyNumberFormat="1" applyAlignment="1">
      <alignment horizontal="center"/>
    </xf>
    <xf numFmtId="3" fontId="0" fillId="0" borderId="0" xfId="0" applyNumberFormat="1"/>
    <xf numFmtId="40" fontId="13" fillId="0" borderId="0" xfId="0" applyNumberFormat="1" applyFont="1"/>
    <xf numFmtId="40" fontId="11" fillId="0" borderId="0" xfId="0" applyNumberFormat="1" applyFont="1" applyAlignment="1">
      <alignment vertical="center"/>
    </xf>
    <xf numFmtId="41" fontId="16" fillId="0" borderId="30" xfId="0" applyNumberFormat="1" applyFont="1" applyBorder="1" applyAlignment="1">
      <alignment horizontal="center" vertical="center"/>
    </xf>
    <xf numFmtId="0" fontId="27" fillId="0" borderId="27" xfId="0" applyFont="1" applyBorder="1" applyAlignment="1">
      <alignment horizontal="center" vertical="center"/>
    </xf>
    <xf numFmtId="49" fontId="18" fillId="0" borderId="0" xfId="0" applyNumberFormat="1" applyFont="1" applyAlignment="1">
      <alignment horizontal="left" vertical="center"/>
    </xf>
    <xf numFmtId="0" fontId="59" fillId="0" borderId="0" xfId="0" applyFont="1" applyAlignment="1">
      <alignment horizontal="left" vertical="center" wrapText="1"/>
    </xf>
    <xf numFmtId="0" fontId="28" fillId="0" borderId="0" xfId="0" applyFont="1" applyAlignment="1">
      <alignment horizontal="left" vertical="center" wrapText="1"/>
    </xf>
    <xf numFmtId="49" fontId="14" fillId="0" borderId="0" xfId="0" applyNumberFormat="1" applyFont="1" applyAlignment="1">
      <alignment horizontal="center" vertical="center"/>
    </xf>
    <xf numFmtId="0" fontId="41" fillId="0" borderId="0" xfId="0" applyFont="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horizontal="left" vertical="top" wrapText="1"/>
    </xf>
    <xf numFmtId="0" fontId="37" fillId="0" borderId="0" xfId="0" applyFont="1" applyAlignment="1">
      <alignment horizontal="left" wrapText="1"/>
    </xf>
    <xf numFmtId="0" fontId="63" fillId="0" borderId="0" xfId="0" applyFont="1" applyAlignment="1">
      <alignment horizontal="center" vertical="center" wrapText="1"/>
    </xf>
    <xf numFmtId="0" fontId="41" fillId="0" borderId="0" xfId="0" applyFont="1" applyAlignment="1">
      <alignment horizontal="left" vertical="center" wrapText="1"/>
    </xf>
    <xf numFmtId="0" fontId="38" fillId="0" borderId="0" xfId="0" applyFont="1" applyAlignment="1">
      <alignment horizontal="left" vertical="center" wrapText="1" indent="2"/>
    </xf>
    <xf numFmtId="0" fontId="41" fillId="0" borderId="0" xfId="0" applyFont="1" applyAlignment="1">
      <alignment horizontal="right" vertical="center" wrapText="1"/>
    </xf>
    <xf numFmtId="0" fontId="38" fillId="0" borderId="0" xfId="0" applyFont="1" applyAlignment="1">
      <alignment horizontal="center" vertical="center" wrapText="1"/>
    </xf>
    <xf numFmtId="0" fontId="38" fillId="0" borderId="0" xfId="0" applyFont="1" applyAlignment="1">
      <alignment horizontal="right" vertical="center" wrapText="1"/>
    </xf>
    <xf numFmtId="0" fontId="38" fillId="0" borderId="0" xfId="0" applyFont="1" applyAlignment="1">
      <alignment horizontal="left" vertical="center" wrapText="1"/>
    </xf>
    <xf numFmtId="0" fontId="63" fillId="0" borderId="0" xfId="0" applyFont="1" applyAlignment="1">
      <alignment horizontal="left" vertical="center" wrapText="1"/>
    </xf>
    <xf numFmtId="41" fontId="38" fillId="0" borderId="0" xfId="0" applyNumberFormat="1" applyFont="1" applyAlignment="1">
      <alignment horizontal="center" vertical="center" wrapText="1"/>
    </xf>
    <xf numFmtId="0" fontId="0" fillId="0" borderId="11" xfId="0" applyBorder="1" applyAlignment="1">
      <alignment horizontal="left" vertical="top" wrapText="1"/>
    </xf>
    <xf numFmtId="0" fontId="0" fillId="0" borderId="11" xfId="0" applyBorder="1" applyAlignment="1">
      <alignment horizontal="left" vertical="top"/>
    </xf>
    <xf numFmtId="0" fontId="53" fillId="0" borderId="5" xfId="0" applyFont="1" applyBorder="1" applyAlignment="1">
      <alignment horizontal="center" vertical="center" wrapText="1"/>
    </xf>
    <xf numFmtId="0" fontId="53"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horizontal="center"/>
    </xf>
    <xf numFmtId="17" fontId="0" fillId="0" borderId="2" xfId="0" applyNumberFormat="1" applyBorder="1" applyAlignment="1">
      <alignment horizontal="left" vertical="center" wrapText="1"/>
    </xf>
    <xf numFmtId="0" fontId="0" fillId="0" borderId="11" xfId="0" applyBorder="1" applyAlignment="1">
      <alignment horizontal="center" vertical="center" wrapText="1"/>
    </xf>
    <xf numFmtId="0" fontId="38" fillId="0" borderId="0" xfId="0" applyFont="1" applyAlignment="1">
      <alignment horizontal="left" vertical="top" wrapText="1"/>
    </xf>
    <xf numFmtId="0" fontId="37" fillId="0" borderId="2" xfId="0" applyFont="1" applyBorder="1" applyAlignment="1">
      <alignment horizontal="left" vertical="top" wrapText="1"/>
    </xf>
    <xf numFmtId="0" fontId="38" fillId="0" borderId="0" xfId="0" applyFont="1" applyAlignment="1">
      <alignment horizontal="center" vertical="top" wrapText="1"/>
    </xf>
    <xf numFmtId="0" fontId="36" fillId="0" borderId="0" xfId="0" applyFont="1" applyAlignment="1">
      <alignment horizontal="center" vertical="center"/>
    </xf>
    <xf numFmtId="168" fontId="36" fillId="0" borderId="0" xfId="0" applyNumberFormat="1" applyFont="1" applyAlignment="1">
      <alignment horizontal="center" vertical="center"/>
    </xf>
    <xf numFmtId="0" fontId="44" fillId="0" borderId="0" xfId="0" applyFont="1" applyAlignment="1">
      <alignment horizontal="center" vertical="center" wrapText="1"/>
    </xf>
    <xf numFmtId="0" fontId="0" fillId="0" borderId="11" xfId="0" applyBorder="1" applyAlignment="1">
      <alignment horizontal="left" vertical="center" wrapText="1"/>
    </xf>
    <xf numFmtId="0" fontId="0" fillId="0" borderId="11" xfId="0" applyBorder="1" applyAlignment="1">
      <alignment horizontal="left" vertical="center"/>
    </xf>
    <xf numFmtId="0" fontId="53" fillId="0" borderId="11" xfId="0" applyFont="1" applyBorder="1" applyAlignment="1">
      <alignment horizontal="center" vertical="center" wrapText="1"/>
    </xf>
    <xf numFmtId="0" fontId="24" fillId="0" borderId="5" xfId="0" applyFont="1" applyBorder="1" applyAlignment="1">
      <alignment horizontal="center" vertical="top" wrapText="1"/>
    </xf>
    <xf numFmtId="0" fontId="24" fillId="0" borderId="7" xfId="0" applyFont="1" applyBorder="1" applyAlignment="1">
      <alignment horizontal="center" vertical="top" wrapText="1"/>
    </xf>
    <xf numFmtId="0" fontId="3" fillId="0" borderId="11" xfId="0" applyFont="1" applyBorder="1" applyAlignment="1">
      <alignment horizontal="left" vertical="top" wrapText="1"/>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0" fillId="0" borderId="16" xfId="0" applyBorder="1" applyAlignment="1">
      <alignment horizontal="left"/>
    </xf>
    <xf numFmtId="0" fontId="0" fillId="0" borderId="0" xfId="0" applyAlignment="1">
      <alignment horizontal="left"/>
    </xf>
    <xf numFmtId="0" fontId="0" fillId="0" borderId="29" xfId="0" applyBorder="1" applyAlignment="1">
      <alignment horizontal="left"/>
    </xf>
    <xf numFmtId="0" fontId="6" fillId="3" borderId="42" xfId="0" applyFont="1" applyFill="1" applyBorder="1" applyAlignment="1">
      <alignment horizontal="center" vertical="center"/>
    </xf>
    <xf numFmtId="0" fontId="0" fillId="0" borderId="23" xfId="0" applyBorder="1" applyAlignment="1">
      <alignment horizontal="left"/>
    </xf>
    <xf numFmtId="0" fontId="0" fillId="0" borderId="1" xfId="0" applyBorder="1" applyAlignment="1">
      <alignment horizontal="left"/>
    </xf>
    <xf numFmtId="0" fontId="0" fillId="0" borderId="51" xfId="0" applyBorder="1" applyAlignment="1">
      <alignment horizontal="left"/>
    </xf>
    <xf numFmtId="0" fontId="0" fillId="0" borderId="69" xfId="0" applyBorder="1" applyAlignment="1">
      <alignment horizontal="left"/>
    </xf>
    <xf numFmtId="0" fontId="0" fillId="0" borderId="70" xfId="0" applyBorder="1" applyAlignment="1">
      <alignment horizontal="left"/>
    </xf>
    <xf numFmtId="0" fontId="0" fillId="0" borderId="20" xfId="0" applyBorder="1" applyAlignment="1">
      <alignment horizontal="left"/>
    </xf>
    <xf numFmtId="0" fontId="33" fillId="0" borderId="16" xfId="0" applyFont="1" applyBorder="1" applyAlignment="1">
      <alignment horizontal="left"/>
    </xf>
    <xf numFmtId="0" fontId="33" fillId="0" borderId="0" xfId="0" applyFont="1" applyAlignment="1">
      <alignment horizontal="left"/>
    </xf>
    <xf numFmtId="0" fontId="33" fillId="0" borderId="29" xfId="0" applyFont="1" applyBorder="1" applyAlignment="1">
      <alignment horizontal="left"/>
    </xf>
    <xf numFmtId="0" fontId="0" fillId="0" borderId="11" xfId="0" applyBorder="1" applyAlignment="1">
      <alignment horizontal="left"/>
    </xf>
    <xf numFmtId="0" fontId="0" fillId="0" borderId="54"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left"/>
    </xf>
    <xf numFmtId="49" fontId="21" fillId="5" borderId="34" xfId="0" applyNumberFormat="1" applyFont="1" applyFill="1" applyBorder="1" applyAlignment="1">
      <alignment horizontal="left"/>
    </xf>
    <xf numFmtId="49" fontId="21" fillId="5" borderId="28" xfId="0" applyNumberFormat="1" applyFont="1" applyFill="1" applyBorder="1" applyAlignment="1">
      <alignment horizontal="left"/>
    </xf>
    <xf numFmtId="49" fontId="21" fillId="12" borderId="35" xfId="0" applyNumberFormat="1" applyFont="1" applyFill="1" applyBorder="1" applyAlignment="1">
      <alignment horizontal="center" vertical="center"/>
    </xf>
    <xf numFmtId="49" fontId="21" fillId="12" borderId="51" xfId="0" applyNumberFormat="1" applyFont="1" applyFill="1" applyBorder="1" applyAlignment="1">
      <alignment horizontal="center" vertical="center"/>
    </xf>
    <xf numFmtId="49" fontId="20" fillId="0" borderId="0" xfId="0" applyNumberFormat="1" applyFont="1" applyAlignment="1">
      <alignment horizontal="center" vertical="center"/>
    </xf>
    <xf numFmtId="0" fontId="0" fillId="0" borderId="27" xfId="0" applyBorder="1" applyAlignment="1">
      <alignment horizontal="center"/>
    </xf>
    <xf numFmtId="0" fontId="64" fillId="0" borderId="32" xfId="0" applyFont="1" applyBorder="1" applyAlignment="1">
      <alignment horizontal="center"/>
    </xf>
    <xf numFmtId="0" fontId="64" fillId="0" borderId="33" xfId="0" applyFont="1" applyBorder="1" applyAlignment="1">
      <alignment horizontal="center"/>
    </xf>
    <xf numFmtId="0" fontId="64" fillId="0" borderId="42" xfId="0" applyFont="1" applyBorder="1" applyAlignment="1">
      <alignment horizontal="center"/>
    </xf>
    <xf numFmtId="49" fontId="14" fillId="0" borderId="27" xfId="0" applyNumberFormat="1" applyFont="1" applyBorder="1" applyAlignment="1">
      <alignment horizontal="center" wrapText="1"/>
    </xf>
    <xf numFmtId="49" fontId="14" fillId="0" borderId="0" xfId="0" applyNumberFormat="1" applyFont="1" applyAlignment="1">
      <alignment horizontal="left" vertical="center"/>
    </xf>
  </cellXfs>
  <cellStyles count="7">
    <cellStyle name="Currency" xfId="1" builtinId="4"/>
    <cellStyle name="Currency 2" xfId="3" xr:uid="{00000000-0005-0000-0000-000001000000}"/>
    <cellStyle name="Normal" xfId="0" builtinId="0"/>
    <cellStyle name="Normal 2" xfId="2" xr:uid="{00000000-0005-0000-0000-000003000000}"/>
    <cellStyle name="Normal 2 2" xfId="6" xr:uid="{00000000-0005-0000-0000-000004000000}"/>
    <cellStyle name="Normal 3" xfId="5" xr:uid="{00000000-0005-0000-0000-000005000000}"/>
    <cellStyle name="Percent" xfId="4" builtinId="5"/>
  </cellStyles>
  <dxfs count="0"/>
  <tableStyles count="0" defaultTableStyle="TableStyleMedium9" defaultPivotStyle="PivotStyleLight16"/>
  <colors>
    <mruColors>
      <color rgb="FF81FFB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Checking</a:t>
            </a:r>
            <a:r>
              <a:rPr lang="en-US" baseline="0"/>
              <a:t> Account Balance</a:t>
            </a:r>
            <a:endParaRPr lang="en-US"/>
          </a:p>
        </c:rich>
      </c:tx>
      <c:layout>
        <c:manualLayout>
          <c:xMode val="edge"/>
          <c:yMode val="edge"/>
          <c:x val="0.33707013072641284"/>
          <c:y val="2.66666759988367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974514055308301E-2"/>
          <c:y val="0.18706673213183977"/>
          <c:w val="0.89931682452736883"/>
          <c:h val="0.58213003749082681"/>
        </c:manualLayout>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Data!$A$1840:$A$2192</c:f>
              <c:numCache>
                <c:formatCode>[$-F800]dddd\,\ mmmm\ dd\,\ yyyy</c:formatCode>
                <c:ptCount val="353"/>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45164</c:v>
                </c:pt>
                <c:pt idx="171">
                  <c:v>45165</c:v>
                </c:pt>
                <c:pt idx="172">
                  <c:v>45166</c:v>
                </c:pt>
                <c:pt idx="173">
                  <c:v>45167</c:v>
                </c:pt>
                <c:pt idx="174">
                  <c:v>45168</c:v>
                </c:pt>
                <c:pt idx="175">
                  <c:v>45169</c:v>
                </c:pt>
                <c:pt idx="176">
                  <c:v>45170</c:v>
                </c:pt>
                <c:pt idx="177">
                  <c:v>45171</c:v>
                </c:pt>
                <c:pt idx="178">
                  <c:v>45172</c:v>
                </c:pt>
                <c:pt idx="179">
                  <c:v>45173</c:v>
                </c:pt>
                <c:pt idx="180">
                  <c:v>45174</c:v>
                </c:pt>
                <c:pt idx="181">
                  <c:v>45175</c:v>
                </c:pt>
                <c:pt idx="182">
                  <c:v>45176</c:v>
                </c:pt>
                <c:pt idx="183">
                  <c:v>45177</c:v>
                </c:pt>
                <c:pt idx="184">
                  <c:v>45180</c:v>
                </c:pt>
                <c:pt idx="185">
                  <c:v>45181</c:v>
                </c:pt>
                <c:pt idx="186">
                  <c:v>45182</c:v>
                </c:pt>
                <c:pt idx="187">
                  <c:v>45183</c:v>
                </c:pt>
                <c:pt idx="188">
                  <c:v>45184</c:v>
                </c:pt>
                <c:pt idx="189">
                  <c:v>45187</c:v>
                </c:pt>
                <c:pt idx="190">
                  <c:v>45188</c:v>
                </c:pt>
                <c:pt idx="191">
                  <c:v>45189</c:v>
                </c:pt>
                <c:pt idx="192">
                  <c:v>45190</c:v>
                </c:pt>
                <c:pt idx="193">
                  <c:v>45191</c:v>
                </c:pt>
                <c:pt idx="194">
                  <c:v>45194</c:v>
                </c:pt>
                <c:pt idx="195">
                  <c:v>45195</c:v>
                </c:pt>
                <c:pt idx="196">
                  <c:v>45196</c:v>
                </c:pt>
                <c:pt idx="197">
                  <c:v>45197</c:v>
                </c:pt>
                <c:pt idx="198">
                  <c:v>45198</c:v>
                </c:pt>
                <c:pt idx="199">
                  <c:v>45201</c:v>
                </c:pt>
                <c:pt idx="200">
                  <c:v>45202</c:v>
                </c:pt>
                <c:pt idx="201">
                  <c:v>45203</c:v>
                </c:pt>
                <c:pt idx="202">
                  <c:v>45204</c:v>
                </c:pt>
                <c:pt idx="203">
                  <c:v>45205</c:v>
                </c:pt>
                <c:pt idx="204">
                  <c:v>45208</c:v>
                </c:pt>
                <c:pt idx="205">
                  <c:v>45209</c:v>
                </c:pt>
                <c:pt idx="206">
                  <c:v>45210</c:v>
                </c:pt>
                <c:pt idx="207">
                  <c:v>45211</c:v>
                </c:pt>
                <c:pt idx="208">
                  <c:v>45212</c:v>
                </c:pt>
                <c:pt idx="209">
                  <c:v>45215</c:v>
                </c:pt>
                <c:pt idx="210">
                  <c:v>45216</c:v>
                </c:pt>
                <c:pt idx="211">
                  <c:v>45217</c:v>
                </c:pt>
                <c:pt idx="212">
                  <c:v>45218</c:v>
                </c:pt>
                <c:pt idx="213">
                  <c:v>45219</c:v>
                </c:pt>
                <c:pt idx="214">
                  <c:v>45222</c:v>
                </c:pt>
                <c:pt idx="215">
                  <c:v>45223</c:v>
                </c:pt>
                <c:pt idx="216">
                  <c:v>45224</c:v>
                </c:pt>
                <c:pt idx="217">
                  <c:v>45225</c:v>
                </c:pt>
                <c:pt idx="218">
                  <c:v>45226</c:v>
                </c:pt>
                <c:pt idx="219">
                  <c:v>45229</c:v>
                </c:pt>
                <c:pt idx="220">
                  <c:v>45230</c:v>
                </c:pt>
                <c:pt idx="221">
                  <c:v>45231</c:v>
                </c:pt>
                <c:pt idx="222">
                  <c:v>45232</c:v>
                </c:pt>
                <c:pt idx="223">
                  <c:v>45233</c:v>
                </c:pt>
                <c:pt idx="224">
                  <c:v>45236</c:v>
                </c:pt>
                <c:pt idx="225">
                  <c:v>45237</c:v>
                </c:pt>
                <c:pt idx="226">
                  <c:v>45238</c:v>
                </c:pt>
                <c:pt idx="227">
                  <c:v>45239</c:v>
                </c:pt>
                <c:pt idx="228">
                  <c:v>45240</c:v>
                </c:pt>
                <c:pt idx="229">
                  <c:v>45243</c:v>
                </c:pt>
                <c:pt idx="230">
                  <c:v>45244</c:v>
                </c:pt>
                <c:pt idx="231">
                  <c:v>45245</c:v>
                </c:pt>
                <c:pt idx="232">
                  <c:v>45246</c:v>
                </c:pt>
                <c:pt idx="233">
                  <c:v>45247</c:v>
                </c:pt>
                <c:pt idx="234">
                  <c:v>45250</c:v>
                </c:pt>
                <c:pt idx="235">
                  <c:v>45251</c:v>
                </c:pt>
                <c:pt idx="236">
                  <c:v>45252</c:v>
                </c:pt>
                <c:pt idx="237">
                  <c:v>45253</c:v>
                </c:pt>
                <c:pt idx="238">
                  <c:v>45254</c:v>
                </c:pt>
                <c:pt idx="239">
                  <c:v>45257</c:v>
                </c:pt>
                <c:pt idx="240">
                  <c:v>45258</c:v>
                </c:pt>
                <c:pt idx="241">
                  <c:v>45259</c:v>
                </c:pt>
                <c:pt idx="242">
                  <c:v>45260</c:v>
                </c:pt>
                <c:pt idx="243">
                  <c:v>45261</c:v>
                </c:pt>
                <c:pt idx="244">
                  <c:v>45264</c:v>
                </c:pt>
                <c:pt idx="245">
                  <c:v>45265</c:v>
                </c:pt>
                <c:pt idx="246">
                  <c:v>45266</c:v>
                </c:pt>
                <c:pt idx="247">
                  <c:v>45267</c:v>
                </c:pt>
                <c:pt idx="248">
                  <c:v>45268</c:v>
                </c:pt>
                <c:pt idx="249">
                  <c:v>45271</c:v>
                </c:pt>
                <c:pt idx="250">
                  <c:v>45272</c:v>
                </c:pt>
                <c:pt idx="251">
                  <c:v>45273</c:v>
                </c:pt>
                <c:pt idx="252">
                  <c:v>45274</c:v>
                </c:pt>
                <c:pt idx="253">
                  <c:v>45275</c:v>
                </c:pt>
                <c:pt idx="254">
                  <c:v>45278</c:v>
                </c:pt>
                <c:pt idx="255">
                  <c:v>45279</c:v>
                </c:pt>
                <c:pt idx="256">
                  <c:v>45280</c:v>
                </c:pt>
                <c:pt idx="257">
                  <c:v>45281</c:v>
                </c:pt>
                <c:pt idx="258">
                  <c:v>45282</c:v>
                </c:pt>
                <c:pt idx="259">
                  <c:v>45285</c:v>
                </c:pt>
                <c:pt idx="260">
                  <c:v>45286</c:v>
                </c:pt>
                <c:pt idx="261">
                  <c:v>45287</c:v>
                </c:pt>
                <c:pt idx="262">
                  <c:v>45288</c:v>
                </c:pt>
                <c:pt idx="263">
                  <c:v>45289</c:v>
                </c:pt>
                <c:pt idx="264">
                  <c:v>45290</c:v>
                </c:pt>
                <c:pt idx="265">
                  <c:v>45291</c:v>
                </c:pt>
                <c:pt idx="266">
                  <c:v>45292</c:v>
                </c:pt>
                <c:pt idx="267">
                  <c:v>45293</c:v>
                </c:pt>
                <c:pt idx="268">
                  <c:v>45294</c:v>
                </c:pt>
                <c:pt idx="269">
                  <c:v>45295</c:v>
                </c:pt>
                <c:pt idx="270">
                  <c:v>45296</c:v>
                </c:pt>
                <c:pt idx="271">
                  <c:v>45299</c:v>
                </c:pt>
                <c:pt idx="272">
                  <c:v>45300</c:v>
                </c:pt>
                <c:pt idx="273">
                  <c:v>45301</c:v>
                </c:pt>
                <c:pt idx="274">
                  <c:v>45302</c:v>
                </c:pt>
                <c:pt idx="275">
                  <c:v>45303</c:v>
                </c:pt>
                <c:pt idx="276">
                  <c:v>45306</c:v>
                </c:pt>
                <c:pt idx="277">
                  <c:v>45307</c:v>
                </c:pt>
                <c:pt idx="278">
                  <c:v>45308</c:v>
                </c:pt>
                <c:pt idx="279">
                  <c:v>45309</c:v>
                </c:pt>
                <c:pt idx="280">
                  <c:v>45310</c:v>
                </c:pt>
                <c:pt idx="281">
                  <c:v>45313</c:v>
                </c:pt>
                <c:pt idx="282">
                  <c:v>45314</c:v>
                </c:pt>
                <c:pt idx="283">
                  <c:v>45315</c:v>
                </c:pt>
                <c:pt idx="284">
                  <c:v>45316</c:v>
                </c:pt>
                <c:pt idx="285">
                  <c:v>45317</c:v>
                </c:pt>
                <c:pt idx="286">
                  <c:v>45320</c:v>
                </c:pt>
                <c:pt idx="287">
                  <c:v>45321</c:v>
                </c:pt>
                <c:pt idx="288">
                  <c:v>45322</c:v>
                </c:pt>
                <c:pt idx="289">
                  <c:v>45323</c:v>
                </c:pt>
                <c:pt idx="290">
                  <c:v>45324</c:v>
                </c:pt>
                <c:pt idx="291">
                  <c:v>45327</c:v>
                </c:pt>
                <c:pt idx="292">
                  <c:v>45328</c:v>
                </c:pt>
                <c:pt idx="293">
                  <c:v>45329</c:v>
                </c:pt>
                <c:pt idx="294">
                  <c:v>45330</c:v>
                </c:pt>
                <c:pt idx="295">
                  <c:v>45331</c:v>
                </c:pt>
                <c:pt idx="296">
                  <c:v>45334</c:v>
                </c:pt>
                <c:pt idx="297">
                  <c:v>45335</c:v>
                </c:pt>
                <c:pt idx="298">
                  <c:v>45336</c:v>
                </c:pt>
                <c:pt idx="299">
                  <c:v>45337</c:v>
                </c:pt>
                <c:pt idx="300">
                  <c:v>45338</c:v>
                </c:pt>
                <c:pt idx="301">
                  <c:v>45341</c:v>
                </c:pt>
                <c:pt idx="302">
                  <c:v>45342</c:v>
                </c:pt>
                <c:pt idx="303">
                  <c:v>45343</c:v>
                </c:pt>
                <c:pt idx="304">
                  <c:v>45344</c:v>
                </c:pt>
                <c:pt idx="305">
                  <c:v>45345</c:v>
                </c:pt>
                <c:pt idx="306">
                  <c:v>45348</c:v>
                </c:pt>
                <c:pt idx="307">
                  <c:v>45349</c:v>
                </c:pt>
                <c:pt idx="308">
                  <c:v>45350</c:v>
                </c:pt>
                <c:pt idx="309">
                  <c:v>45351</c:v>
                </c:pt>
                <c:pt idx="310">
                  <c:v>45352</c:v>
                </c:pt>
                <c:pt idx="311">
                  <c:v>45355</c:v>
                </c:pt>
                <c:pt idx="312">
                  <c:v>45356</c:v>
                </c:pt>
                <c:pt idx="313">
                  <c:v>45357</c:v>
                </c:pt>
                <c:pt idx="314">
                  <c:v>45358</c:v>
                </c:pt>
                <c:pt idx="315">
                  <c:v>45359</c:v>
                </c:pt>
                <c:pt idx="316">
                  <c:v>45362</c:v>
                </c:pt>
                <c:pt idx="317">
                  <c:v>45363</c:v>
                </c:pt>
                <c:pt idx="318">
                  <c:v>45364</c:v>
                </c:pt>
                <c:pt idx="319">
                  <c:v>45365</c:v>
                </c:pt>
                <c:pt idx="320">
                  <c:v>45366</c:v>
                </c:pt>
                <c:pt idx="321">
                  <c:v>45369</c:v>
                </c:pt>
                <c:pt idx="322">
                  <c:v>45370</c:v>
                </c:pt>
                <c:pt idx="323">
                  <c:v>45371</c:v>
                </c:pt>
                <c:pt idx="324">
                  <c:v>45372</c:v>
                </c:pt>
                <c:pt idx="325">
                  <c:v>45373</c:v>
                </c:pt>
                <c:pt idx="326">
                  <c:v>45376</c:v>
                </c:pt>
                <c:pt idx="327">
                  <c:v>45377</c:v>
                </c:pt>
                <c:pt idx="328">
                  <c:v>45378</c:v>
                </c:pt>
                <c:pt idx="329">
                  <c:v>45379</c:v>
                </c:pt>
                <c:pt idx="330">
                  <c:v>45380</c:v>
                </c:pt>
                <c:pt idx="331">
                  <c:v>45383</c:v>
                </c:pt>
                <c:pt idx="332">
                  <c:v>45384</c:v>
                </c:pt>
                <c:pt idx="333">
                  <c:v>45385</c:v>
                </c:pt>
                <c:pt idx="334">
                  <c:v>45386</c:v>
                </c:pt>
                <c:pt idx="335">
                  <c:v>45387</c:v>
                </c:pt>
                <c:pt idx="336">
                  <c:v>45390</c:v>
                </c:pt>
                <c:pt idx="337">
                  <c:v>45391</c:v>
                </c:pt>
                <c:pt idx="338">
                  <c:v>45392</c:v>
                </c:pt>
                <c:pt idx="339">
                  <c:v>45393</c:v>
                </c:pt>
                <c:pt idx="340">
                  <c:v>45394</c:v>
                </c:pt>
                <c:pt idx="341">
                  <c:v>45397</c:v>
                </c:pt>
                <c:pt idx="342">
                  <c:v>45398</c:v>
                </c:pt>
                <c:pt idx="343">
                  <c:v>45399</c:v>
                </c:pt>
                <c:pt idx="344">
                  <c:v>45400</c:v>
                </c:pt>
                <c:pt idx="345">
                  <c:v>45401</c:v>
                </c:pt>
                <c:pt idx="346">
                  <c:v>45404</c:v>
                </c:pt>
                <c:pt idx="347">
                  <c:v>45405</c:v>
                </c:pt>
                <c:pt idx="348">
                  <c:v>45406</c:v>
                </c:pt>
                <c:pt idx="349">
                  <c:v>45407</c:v>
                </c:pt>
                <c:pt idx="350">
                  <c:v>45408</c:v>
                </c:pt>
                <c:pt idx="351">
                  <c:v>45411</c:v>
                </c:pt>
                <c:pt idx="352">
                  <c:v>45412</c:v>
                </c:pt>
              </c:numCache>
            </c:numRef>
          </c:cat>
          <c:val>
            <c:numRef>
              <c:f>Data!$B$1840:$B$2192</c:f>
              <c:numCache>
                <c:formatCode>#,##0_);[Red]\(#,##0\)</c:formatCode>
                <c:ptCount val="353"/>
                <c:pt idx="0">
                  <c:v>432698.4</c:v>
                </c:pt>
                <c:pt idx="1">
                  <c:v>432648.4</c:v>
                </c:pt>
                <c:pt idx="2">
                  <c:v>432648.4</c:v>
                </c:pt>
                <c:pt idx="3">
                  <c:v>376288.8</c:v>
                </c:pt>
                <c:pt idx="4">
                  <c:v>375846.51</c:v>
                </c:pt>
                <c:pt idx="5">
                  <c:v>375246.51</c:v>
                </c:pt>
                <c:pt idx="6">
                  <c:v>375703.51</c:v>
                </c:pt>
                <c:pt idx="7">
                  <c:v>375837.32</c:v>
                </c:pt>
                <c:pt idx="8">
                  <c:v>358313.37</c:v>
                </c:pt>
                <c:pt idx="9">
                  <c:v>362655.36</c:v>
                </c:pt>
                <c:pt idx="10">
                  <c:v>362655.36</c:v>
                </c:pt>
                <c:pt idx="11">
                  <c:v>296234.34999999998</c:v>
                </c:pt>
                <c:pt idx="12">
                  <c:v>309641.15000000002</c:v>
                </c:pt>
                <c:pt idx="13">
                  <c:v>316446.05</c:v>
                </c:pt>
                <c:pt idx="14">
                  <c:v>315066.78000000003</c:v>
                </c:pt>
                <c:pt idx="15">
                  <c:v>314907.93</c:v>
                </c:pt>
                <c:pt idx="16">
                  <c:v>314907.93</c:v>
                </c:pt>
                <c:pt idx="17">
                  <c:v>314907.93</c:v>
                </c:pt>
                <c:pt idx="18">
                  <c:v>315650.68</c:v>
                </c:pt>
                <c:pt idx="19">
                  <c:v>291355.65000000002</c:v>
                </c:pt>
                <c:pt idx="20">
                  <c:v>270294.52</c:v>
                </c:pt>
                <c:pt idx="21">
                  <c:v>269684.28999999998</c:v>
                </c:pt>
                <c:pt idx="22">
                  <c:v>269684.28999999998</c:v>
                </c:pt>
                <c:pt idx="23">
                  <c:v>259972.42</c:v>
                </c:pt>
                <c:pt idx="24">
                  <c:v>282694.13</c:v>
                </c:pt>
                <c:pt idx="25">
                  <c:v>282636.44</c:v>
                </c:pt>
                <c:pt idx="26">
                  <c:v>298296.44</c:v>
                </c:pt>
                <c:pt idx="27">
                  <c:v>298259.44</c:v>
                </c:pt>
                <c:pt idx="28">
                  <c:v>286670.99</c:v>
                </c:pt>
                <c:pt idx="29">
                  <c:v>329121.65000000002</c:v>
                </c:pt>
                <c:pt idx="30">
                  <c:v>287265.95</c:v>
                </c:pt>
                <c:pt idx="31">
                  <c:v>291765.95</c:v>
                </c:pt>
                <c:pt idx="32">
                  <c:v>291800.28000000003</c:v>
                </c:pt>
                <c:pt idx="33">
                  <c:v>298342.23</c:v>
                </c:pt>
                <c:pt idx="34">
                  <c:v>292633.62</c:v>
                </c:pt>
                <c:pt idx="35">
                  <c:v>292633.62</c:v>
                </c:pt>
                <c:pt idx="36">
                  <c:v>320810.26</c:v>
                </c:pt>
                <c:pt idx="37">
                  <c:v>320810.26</c:v>
                </c:pt>
                <c:pt idx="38">
                  <c:v>341705.89</c:v>
                </c:pt>
                <c:pt idx="39">
                  <c:v>341754.4</c:v>
                </c:pt>
                <c:pt idx="40">
                  <c:v>330670.37</c:v>
                </c:pt>
                <c:pt idx="41">
                  <c:v>338045.7</c:v>
                </c:pt>
                <c:pt idx="42">
                  <c:v>338604.7</c:v>
                </c:pt>
                <c:pt idx="43">
                  <c:v>329491.15000000002</c:v>
                </c:pt>
                <c:pt idx="44">
                  <c:v>329106.55</c:v>
                </c:pt>
                <c:pt idx="45">
                  <c:v>329106.55</c:v>
                </c:pt>
                <c:pt idx="46">
                  <c:v>366692.56</c:v>
                </c:pt>
                <c:pt idx="47">
                  <c:v>368956.85</c:v>
                </c:pt>
                <c:pt idx="48">
                  <c:v>390880.67</c:v>
                </c:pt>
                <c:pt idx="49">
                  <c:v>414120.74</c:v>
                </c:pt>
                <c:pt idx="50">
                  <c:v>424130.52</c:v>
                </c:pt>
                <c:pt idx="51">
                  <c:v>424130.52</c:v>
                </c:pt>
                <c:pt idx="52">
                  <c:v>424163.34</c:v>
                </c:pt>
                <c:pt idx="53">
                  <c:v>422350.37</c:v>
                </c:pt>
                <c:pt idx="54">
                  <c:v>421965.77</c:v>
                </c:pt>
                <c:pt idx="55">
                  <c:v>419047.88</c:v>
                </c:pt>
                <c:pt idx="56">
                  <c:v>425165.2</c:v>
                </c:pt>
                <c:pt idx="57">
                  <c:v>415468.61</c:v>
                </c:pt>
                <c:pt idx="58">
                  <c:v>444345.89</c:v>
                </c:pt>
                <c:pt idx="59">
                  <c:v>444345.89</c:v>
                </c:pt>
                <c:pt idx="60">
                  <c:v>472758.17</c:v>
                </c:pt>
                <c:pt idx="61">
                  <c:v>431931.97</c:v>
                </c:pt>
                <c:pt idx="62">
                  <c:v>435079.42</c:v>
                </c:pt>
                <c:pt idx="63">
                  <c:v>424040.9</c:v>
                </c:pt>
                <c:pt idx="64">
                  <c:v>449683.31</c:v>
                </c:pt>
                <c:pt idx="65">
                  <c:v>449683.31</c:v>
                </c:pt>
                <c:pt idx="66">
                  <c:v>449683.31</c:v>
                </c:pt>
                <c:pt idx="67">
                  <c:v>449683.31</c:v>
                </c:pt>
                <c:pt idx="68">
                  <c:v>425038.75</c:v>
                </c:pt>
                <c:pt idx="69">
                  <c:v>425038.75</c:v>
                </c:pt>
                <c:pt idx="70">
                  <c:v>381899.02</c:v>
                </c:pt>
                <c:pt idx="71">
                  <c:v>403291.29</c:v>
                </c:pt>
                <c:pt idx="72">
                  <c:v>398523.39</c:v>
                </c:pt>
                <c:pt idx="73">
                  <c:v>405256.29</c:v>
                </c:pt>
                <c:pt idx="74">
                  <c:v>404915.18</c:v>
                </c:pt>
                <c:pt idx="75">
                  <c:v>403828.39</c:v>
                </c:pt>
                <c:pt idx="76">
                  <c:v>403828.39</c:v>
                </c:pt>
                <c:pt idx="77">
                  <c:v>434721.04</c:v>
                </c:pt>
                <c:pt idx="78">
                  <c:v>421127.98</c:v>
                </c:pt>
                <c:pt idx="79">
                  <c:v>420969.13</c:v>
                </c:pt>
                <c:pt idx="80">
                  <c:v>420969.13</c:v>
                </c:pt>
                <c:pt idx="81">
                  <c:v>379345</c:v>
                </c:pt>
                <c:pt idx="82">
                  <c:v>379345</c:v>
                </c:pt>
                <c:pt idx="83">
                  <c:v>379345</c:v>
                </c:pt>
                <c:pt idx="84">
                  <c:v>402733.09</c:v>
                </c:pt>
                <c:pt idx="85">
                  <c:v>403316.09</c:v>
                </c:pt>
                <c:pt idx="86">
                  <c:v>403316.09</c:v>
                </c:pt>
                <c:pt idx="87">
                  <c:v>385876.12</c:v>
                </c:pt>
                <c:pt idx="88">
                  <c:v>351812.45</c:v>
                </c:pt>
                <c:pt idx="89">
                  <c:v>351812.45</c:v>
                </c:pt>
                <c:pt idx="90">
                  <c:v>368195.43</c:v>
                </c:pt>
                <c:pt idx="91">
                  <c:v>368195.43</c:v>
                </c:pt>
                <c:pt idx="92">
                  <c:v>368195.43</c:v>
                </c:pt>
                <c:pt idx="93">
                  <c:v>368195.43</c:v>
                </c:pt>
                <c:pt idx="94">
                  <c:v>367810.83</c:v>
                </c:pt>
                <c:pt idx="95">
                  <c:v>367851.39</c:v>
                </c:pt>
                <c:pt idx="96">
                  <c:v>367851.39</c:v>
                </c:pt>
                <c:pt idx="97">
                  <c:v>367851.39</c:v>
                </c:pt>
                <c:pt idx="98">
                  <c:v>356642.57</c:v>
                </c:pt>
                <c:pt idx="99">
                  <c:v>356642.57</c:v>
                </c:pt>
                <c:pt idx="100">
                  <c:v>308974.21000000002</c:v>
                </c:pt>
                <c:pt idx="101">
                  <c:v>338753.05</c:v>
                </c:pt>
                <c:pt idx="102">
                  <c:v>391263.14</c:v>
                </c:pt>
                <c:pt idx="103">
                  <c:v>391263.14</c:v>
                </c:pt>
                <c:pt idx="104">
                  <c:v>449119.47</c:v>
                </c:pt>
                <c:pt idx="105">
                  <c:v>449119.47</c:v>
                </c:pt>
                <c:pt idx="106">
                  <c:v>448869.47</c:v>
                </c:pt>
                <c:pt idx="107">
                  <c:v>448869.47</c:v>
                </c:pt>
                <c:pt idx="108">
                  <c:v>438853.17</c:v>
                </c:pt>
                <c:pt idx="109">
                  <c:v>439117.17</c:v>
                </c:pt>
                <c:pt idx="110">
                  <c:v>407163.47</c:v>
                </c:pt>
                <c:pt idx="111">
                  <c:v>415855.1</c:v>
                </c:pt>
                <c:pt idx="112">
                  <c:v>415855.1</c:v>
                </c:pt>
                <c:pt idx="113">
                  <c:v>412361.18</c:v>
                </c:pt>
                <c:pt idx="114">
                  <c:v>411976.58</c:v>
                </c:pt>
                <c:pt idx="115">
                  <c:v>412491.58</c:v>
                </c:pt>
                <c:pt idx="116">
                  <c:v>412491.58</c:v>
                </c:pt>
                <c:pt idx="117">
                  <c:v>412491.58</c:v>
                </c:pt>
                <c:pt idx="118">
                  <c:v>421884.75</c:v>
                </c:pt>
                <c:pt idx="119">
                  <c:v>421884.75</c:v>
                </c:pt>
                <c:pt idx="120">
                  <c:v>422030.75</c:v>
                </c:pt>
                <c:pt idx="121">
                  <c:v>384440.18</c:v>
                </c:pt>
                <c:pt idx="122">
                  <c:v>383701.41</c:v>
                </c:pt>
                <c:pt idx="123">
                  <c:v>384859.49</c:v>
                </c:pt>
                <c:pt idx="124">
                  <c:v>412308.62</c:v>
                </c:pt>
                <c:pt idx="125">
                  <c:v>412308.62</c:v>
                </c:pt>
                <c:pt idx="126">
                  <c:v>412282.92</c:v>
                </c:pt>
                <c:pt idx="127">
                  <c:v>402422.58</c:v>
                </c:pt>
                <c:pt idx="128">
                  <c:v>402266.7</c:v>
                </c:pt>
                <c:pt idx="129">
                  <c:v>407981.99</c:v>
                </c:pt>
                <c:pt idx="130">
                  <c:v>373219.37</c:v>
                </c:pt>
                <c:pt idx="131">
                  <c:v>373219.37</c:v>
                </c:pt>
                <c:pt idx="132">
                  <c:v>373219.37</c:v>
                </c:pt>
                <c:pt idx="133">
                  <c:v>376696.27</c:v>
                </c:pt>
                <c:pt idx="134">
                  <c:v>376906.67</c:v>
                </c:pt>
                <c:pt idx="135">
                  <c:v>377111.67</c:v>
                </c:pt>
                <c:pt idx="136">
                  <c:v>378617.91</c:v>
                </c:pt>
                <c:pt idx="137">
                  <c:v>378999.91</c:v>
                </c:pt>
                <c:pt idx="138">
                  <c:v>399013.52</c:v>
                </c:pt>
                <c:pt idx="139">
                  <c:v>399052</c:v>
                </c:pt>
                <c:pt idx="140">
                  <c:v>398802</c:v>
                </c:pt>
                <c:pt idx="141">
                  <c:v>415884.95</c:v>
                </c:pt>
                <c:pt idx="142">
                  <c:v>416084.95</c:v>
                </c:pt>
                <c:pt idx="143">
                  <c:v>409180.98</c:v>
                </c:pt>
                <c:pt idx="144">
                  <c:v>411006.01</c:v>
                </c:pt>
                <c:pt idx="145">
                  <c:v>411445.54</c:v>
                </c:pt>
                <c:pt idx="146">
                  <c:v>412425.15</c:v>
                </c:pt>
                <c:pt idx="147">
                  <c:v>412425.15</c:v>
                </c:pt>
                <c:pt idx="148">
                  <c:v>387088.04</c:v>
                </c:pt>
                <c:pt idx="149">
                  <c:v>405857.22</c:v>
                </c:pt>
                <c:pt idx="150">
                  <c:v>404076.54</c:v>
                </c:pt>
                <c:pt idx="151">
                  <c:v>390920.58</c:v>
                </c:pt>
                <c:pt idx="152">
                  <c:v>390920.58</c:v>
                </c:pt>
                <c:pt idx="153">
                  <c:v>386738.53</c:v>
                </c:pt>
                <c:pt idx="154">
                  <c:v>384493.66</c:v>
                </c:pt>
                <c:pt idx="155">
                  <c:v>385493.66</c:v>
                </c:pt>
                <c:pt idx="156">
                  <c:v>385493.66</c:v>
                </c:pt>
                <c:pt idx="157">
                  <c:v>385493.66</c:v>
                </c:pt>
                <c:pt idx="158">
                  <c:v>385493.66</c:v>
                </c:pt>
                <c:pt idx="159">
                  <c:v>386021.66</c:v>
                </c:pt>
                <c:pt idx="160">
                  <c:v>406742.83</c:v>
                </c:pt>
                <c:pt idx="161">
                  <c:v>370565.1</c:v>
                </c:pt>
                <c:pt idx="162">
                  <c:v>370565.1</c:v>
                </c:pt>
                <c:pt idx="163">
                  <c:v>396789.54</c:v>
                </c:pt>
                <c:pt idx="164">
                  <c:v>396404.94</c:v>
                </c:pt>
                <c:pt idx="165">
                  <c:v>394335.05</c:v>
                </c:pt>
                <c:pt idx="166">
                  <c:v>394335.05</c:v>
                </c:pt>
                <c:pt idx="167">
                  <c:v>394359.06</c:v>
                </c:pt>
                <c:pt idx="168">
                  <c:v>388296.14</c:v>
                </c:pt>
                <c:pt idx="169">
                  <c:v>388621.14</c:v>
                </c:pt>
                <c:pt idx="170">
                  <c:v>388621.14</c:v>
                </c:pt>
                <c:pt idx="171">
                  <c:v>388621.14</c:v>
                </c:pt>
                <c:pt idx="172">
                  <c:v>350982.96</c:v>
                </c:pt>
                <c:pt idx="173">
                  <c:v>451232.96</c:v>
                </c:pt>
                <c:pt idx="174">
                  <c:v>499724.02</c:v>
                </c:pt>
                <c:pt idx="175">
                  <c:v>519129.97</c:v>
                </c:pt>
                <c:pt idx="176">
                  <c:v>494825.52</c:v>
                </c:pt>
                <c:pt idx="177">
                  <c:v>494825.52</c:v>
                </c:pt>
                <c:pt idx="178">
                  <c:v>494825.52</c:v>
                </c:pt>
                <c:pt idx="179">
                  <c:v>494825.52</c:v>
                </c:pt>
                <c:pt idx="180">
                  <c:v>494875.52</c:v>
                </c:pt>
                <c:pt idx="181">
                  <c:v>492868.56</c:v>
                </c:pt>
                <c:pt idx="182">
                  <c:v>492868.56</c:v>
                </c:pt>
                <c:pt idx="183">
                  <c:v>492868.56</c:v>
                </c:pt>
                <c:pt idx="184">
                  <c:v>494218.56</c:v>
                </c:pt>
                <c:pt idx="185">
                  <c:v>452326.96</c:v>
                </c:pt>
                <c:pt idx="186">
                  <c:v>475248.53</c:v>
                </c:pt>
                <c:pt idx="187">
                  <c:v>485579.7</c:v>
                </c:pt>
                <c:pt idx="188">
                  <c:v>483237.86</c:v>
                </c:pt>
                <c:pt idx="189">
                  <c:v>482174.8</c:v>
                </c:pt>
                <c:pt idx="190">
                  <c:v>482199.8</c:v>
                </c:pt>
                <c:pt idx="191">
                  <c:v>479406.91</c:v>
                </c:pt>
                <c:pt idx="192">
                  <c:v>470500.67</c:v>
                </c:pt>
                <c:pt idx="193">
                  <c:v>472716.17</c:v>
                </c:pt>
                <c:pt idx="194">
                  <c:v>433269.34</c:v>
                </c:pt>
                <c:pt idx="195">
                  <c:v>433243.64</c:v>
                </c:pt>
                <c:pt idx="196">
                  <c:v>469337.63</c:v>
                </c:pt>
                <c:pt idx="197">
                  <c:v>469337.63</c:v>
                </c:pt>
                <c:pt idx="198">
                  <c:v>468953.03</c:v>
                </c:pt>
                <c:pt idx="199">
                  <c:v>459905.29</c:v>
                </c:pt>
                <c:pt idx="200">
                  <c:v>459905.29</c:v>
                </c:pt>
                <c:pt idx="201">
                  <c:v>459905.29</c:v>
                </c:pt>
                <c:pt idx="202">
                  <c:v>459905.29</c:v>
                </c:pt>
                <c:pt idx="203">
                  <c:v>459905.29</c:v>
                </c:pt>
                <c:pt idx="204">
                  <c:v>459905.29</c:v>
                </c:pt>
                <c:pt idx="205">
                  <c:v>423446.93</c:v>
                </c:pt>
                <c:pt idx="206">
                  <c:v>423446.93</c:v>
                </c:pt>
                <c:pt idx="207">
                  <c:v>407711.69</c:v>
                </c:pt>
                <c:pt idx="208">
                  <c:v>407733.05</c:v>
                </c:pt>
                <c:pt idx="209">
                  <c:v>409787.27</c:v>
                </c:pt>
                <c:pt idx="210">
                  <c:v>409787.27</c:v>
                </c:pt>
                <c:pt idx="211">
                  <c:v>410017.27</c:v>
                </c:pt>
                <c:pt idx="212">
                  <c:v>418625.7</c:v>
                </c:pt>
                <c:pt idx="213">
                  <c:v>418550.7</c:v>
                </c:pt>
                <c:pt idx="214">
                  <c:v>381523.11</c:v>
                </c:pt>
                <c:pt idx="215">
                  <c:v>381523.11</c:v>
                </c:pt>
                <c:pt idx="216">
                  <c:v>381523.11</c:v>
                </c:pt>
                <c:pt idx="217">
                  <c:v>381909.52</c:v>
                </c:pt>
                <c:pt idx="218">
                  <c:v>381524.92</c:v>
                </c:pt>
                <c:pt idx="219">
                  <c:v>381524.92</c:v>
                </c:pt>
                <c:pt idx="220">
                  <c:v>403601.43</c:v>
                </c:pt>
                <c:pt idx="221">
                  <c:v>403601.43</c:v>
                </c:pt>
                <c:pt idx="222">
                  <c:v>388696.73</c:v>
                </c:pt>
                <c:pt idx="223">
                  <c:v>388696.73</c:v>
                </c:pt>
                <c:pt idx="224">
                  <c:v>354074.98</c:v>
                </c:pt>
                <c:pt idx="225">
                  <c:v>354074.98</c:v>
                </c:pt>
                <c:pt idx="226">
                  <c:v>412115.27</c:v>
                </c:pt>
                <c:pt idx="227">
                  <c:v>421170.44</c:v>
                </c:pt>
                <c:pt idx="228">
                  <c:v>443466.68</c:v>
                </c:pt>
                <c:pt idx="229">
                  <c:v>443466.68</c:v>
                </c:pt>
                <c:pt idx="230">
                  <c:v>443467.28</c:v>
                </c:pt>
                <c:pt idx="231">
                  <c:v>467133.83</c:v>
                </c:pt>
                <c:pt idx="232">
                  <c:v>457231.63</c:v>
                </c:pt>
                <c:pt idx="233">
                  <c:v>457180.17</c:v>
                </c:pt>
                <c:pt idx="234">
                  <c:v>413685.69</c:v>
                </c:pt>
                <c:pt idx="235">
                  <c:v>413685.69</c:v>
                </c:pt>
                <c:pt idx="236">
                  <c:v>414169.69</c:v>
                </c:pt>
                <c:pt idx="237">
                  <c:v>414169.69</c:v>
                </c:pt>
                <c:pt idx="238">
                  <c:v>413785.09</c:v>
                </c:pt>
                <c:pt idx="239">
                  <c:v>413785.09</c:v>
                </c:pt>
                <c:pt idx="240">
                  <c:v>413647.44</c:v>
                </c:pt>
                <c:pt idx="241">
                  <c:v>413647.44</c:v>
                </c:pt>
                <c:pt idx="242">
                  <c:v>456909.26</c:v>
                </c:pt>
                <c:pt idx="243">
                  <c:v>456909.26</c:v>
                </c:pt>
                <c:pt idx="244">
                  <c:v>420452.25</c:v>
                </c:pt>
                <c:pt idx="245">
                  <c:v>420452.25</c:v>
                </c:pt>
                <c:pt idx="246">
                  <c:v>545432.25</c:v>
                </c:pt>
                <c:pt idx="247">
                  <c:v>545590.84</c:v>
                </c:pt>
                <c:pt idx="248">
                  <c:v>525679.43000000005</c:v>
                </c:pt>
                <c:pt idx="249">
                  <c:v>545765.34</c:v>
                </c:pt>
                <c:pt idx="250">
                  <c:v>546390.34</c:v>
                </c:pt>
                <c:pt idx="251">
                  <c:v>546489.65</c:v>
                </c:pt>
                <c:pt idx="252">
                  <c:v>540866.25</c:v>
                </c:pt>
                <c:pt idx="253">
                  <c:v>540913.56000000006</c:v>
                </c:pt>
                <c:pt idx="254">
                  <c:v>533274.25</c:v>
                </c:pt>
                <c:pt idx="255">
                  <c:v>618886.13</c:v>
                </c:pt>
                <c:pt idx="256">
                  <c:v>614102.62</c:v>
                </c:pt>
                <c:pt idx="257">
                  <c:v>624405.25</c:v>
                </c:pt>
                <c:pt idx="258">
                  <c:v>626377.68000000005</c:v>
                </c:pt>
                <c:pt idx="259">
                  <c:v>626377.68000000005</c:v>
                </c:pt>
                <c:pt idx="260">
                  <c:v>643671.14</c:v>
                </c:pt>
                <c:pt idx="261">
                  <c:v>644766.57999999996</c:v>
                </c:pt>
                <c:pt idx="262">
                  <c:v>638881.80000000005</c:v>
                </c:pt>
                <c:pt idx="263">
                  <c:v>661874.81999999995</c:v>
                </c:pt>
                <c:pt idx="264">
                  <c:v>661874.81999999995</c:v>
                </c:pt>
                <c:pt idx="265">
                  <c:v>661874.81999999995</c:v>
                </c:pt>
                <c:pt idx="266">
                  <c:v>661874.81999999995</c:v>
                </c:pt>
                <c:pt idx="267">
                  <c:v>612116.59</c:v>
                </c:pt>
                <c:pt idx="268">
                  <c:v>611802.93999999994</c:v>
                </c:pt>
                <c:pt idx="269">
                  <c:v>611802.93999999994</c:v>
                </c:pt>
                <c:pt idx="270">
                  <c:v>611802.93999999994</c:v>
                </c:pt>
                <c:pt idx="271">
                  <c:v>597286.13</c:v>
                </c:pt>
                <c:pt idx="272">
                  <c:v>597286.13</c:v>
                </c:pt>
                <c:pt idx="273">
                  <c:v>597286.13</c:v>
                </c:pt>
                <c:pt idx="274">
                  <c:v>608030.19999999995</c:v>
                </c:pt>
                <c:pt idx="275">
                  <c:v>608078.04</c:v>
                </c:pt>
                <c:pt idx="276">
                  <c:v>608078.04</c:v>
                </c:pt>
                <c:pt idx="277">
                  <c:v>586838.57999999996</c:v>
                </c:pt>
                <c:pt idx="278">
                  <c:v>582760.27</c:v>
                </c:pt>
                <c:pt idx="279">
                  <c:v>591268.14</c:v>
                </c:pt>
                <c:pt idx="280">
                  <c:v>606839.55000000005</c:v>
                </c:pt>
                <c:pt idx="281">
                  <c:v>594580.53</c:v>
                </c:pt>
                <c:pt idx="282">
                  <c:v>593705.04</c:v>
                </c:pt>
                <c:pt idx="283">
                  <c:v>593705.04</c:v>
                </c:pt>
                <c:pt idx="284">
                  <c:v>587304.93000000005</c:v>
                </c:pt>
                <c:pt idx="285">
                  <c:v>587269.94999999995</c:v>
                </c:pt>
                <c:pt idx="286">
                  <c:v>586679.74</c:v>
                </c:pt>
                <c:pt idx="287">
                  <c:v>553504.59</c:v>
                </c:pt>
                <c:pt idx="288">
                  <c:v>553504.59</c:v>
                </c:pt>
                <c:pt idx="289">
                  <c:v>553504.59</c:v>
                </c:pt>
                <c:pt idx="290">
                  <c:v>592925.96</c:v>
                </c:pt>
                <c:pt idx="291">
                  <c:v>579325.18999999994</c:v>
                </c:pt>
                <c:pt idx="292">
                  <c:v>579515.18999999994</c:v>
                </c:pt>
                <c:pt idx="293">
                  <c:v>580657.82999999996</c:v>
                </c:pt>
                <c:pt idx="294">
                  <c:v>579328.14</c:v>
                </c:pt>
                <c:pt idx="295">
                  <c:v>579328.14</c:v>
                </c:pt>
                <c:pt idx="296">
                  <c:v>543891.63</c:v>
                </c:pt>
                <c:pt idx="297">
                  <c:v>543891.63</c:v>
                </c:pt>
                <c:pt idx="298">
                  <c:v>579929.61</c:v>
                </c:pt>
                <c:pt idx="299">
                  <c:v>566140.77</c:v>
                </c:pt>
                <c:pt idx="300">
                  <c:v>566424.71</c:v>
                </c:pt>
                <c:pt idx="301">
                  <c:v>566424.71</c:v>
                </c:pt>
                <c:pt idx="302">
                  <c:v>585835.32999999996</c:v>
                </c:pt>
                <c:pt idx="303">
                  <c:v>585835.32999999996</c:v>
                </c:pt>
                <c:pt idx="304">
                  <c:v>587749.09</c:v>
                </c:pt>
                <c:pt idx="305">
                  <c:v>587703.09</c:v>
                </c:pt>
                <c:pt idx="306">
                  <c:v>553831.01</c:v>
                </c:pt>
                <c:pt idx="307">
                  <c:v>553831.01</c:v>
                </c:pt>
                <c:pt idx="308">
                  <c:v>553831.01</c:v>
                </c:pt>
                <c:pt idx="309">
                  <c:v>553927.51</c:v>
                </c:pt>
                <c:pt idx="310">
                  <c:v>639044.65</c:v>
                </c:pt>
                <c:pt idx="311">
                  <c:v>639286.35</c:v>
                </c:pt>
                <c:pt idx="312">
                  <c:v>639286.35</c:v>
                </c:pt>
                <c:pt idx="313">
                  <c:v>639286.35</c:v>
                </c:pt>
                <c:pt idx="314">
                  <c:v>616931.9</c:v>
                </c:pt>
                <c:pt idx="315">
                  <c:v>616931.9</c:v>
                </c:pt>
                <c:pt idx="316">
                  <c:v>616931.9</c:v>
                </c:pt>
                <c:pt idx="317">
                  <c:v>580620.53</c:v>
                </c:pt>
                <c:pt idx="318">
                  <c:v>589303.47</c:v>
                </c:pt>
                <c:pt idx="319">
                  <c:v>573439.49</c:v>
                </c:pt>
                <c:pt idx="320">
                  <c:v>573173.1</c:v>
                </c:pt>
                <c:pt idx="321">
                  <c:v>597404.67000000004</c:v>
                </c:pt>
                <c:pt idx="322">
                  <c:v>597454.31999999995</c:v>
                </c:pt>
                <c:pt idx="323">
                  <c:v>594610.32999999996</c:v>
                </c:pt>
                <c:pt idx="324">
                  <c:v>599459.89</c:v>
                </c:pt>
                <c:pt idx="325">
                  <c:v>621376.56999999995</c:v>
                </c:pt>
                <c:pt idx="326">
                  <c:v>639731.09</c:v>
                </c:pt>
                <c:pt idx="327">
                  <c:v>603296.46</c:v>
                </c:pt>
                <c:pt idx="328">
                  <c:v>602128.03</c:v>
                </c:pt>
                <c:pt idx="329">
                  <c:v>610877.03</c:v>
                </c:pt>
                <c:pt idx="330">
                  <c:v>629664.21</c:v>
                </c:pt>
                <c:pt idx="331">
                  <c:v>629664.21</c:v>
                </c:pt>
                <c:pt idx="332">
                  <c:v>629664.21</c:v>
                </c:pt>
                <c:pt idx="333">
                  <c:v>629904.21</c:v>
                </c:pt>
                <c:pt idx="334">
                  <c:v>629904.21</c:v>
                </c:pt>
                <c:pt idx="335">
                  <c:v>630020.39</c:v>
                </c:pt>
                <c:pt idx="336">
                  <c:v>630714.61</c:v>
                </c:pt>
                <c:pt idx="337">
                  <c:v>573875.92000000004</c:v>
                </c:pt>
                <c:pt idx="338">
                  <c:v>590385.61</c:v>
                </c:pt>
                <c:pt idx="339">
                  <c:v>590798.61</c:v>
                </c:pt>
                <c:pt idx="340">
                  <c:v>590447.57999999996</c:v>
                </c:pt>
                <c:pt idx="341">
                  <c:v>589784.82999999996</c:v>
                </c:pt>
                <c:pt idx="342">
                  <c:v>591275.29</c:v>
                </c:pt>
                <c:pt idx="343">
                  <c:v>591604.29</c:v>
                </c:pt>
                <c:pt idx="344">
                  <c:v>595308.17000000004</c:v>
                </c:pt>
                <c:pt idx="345">
                  <c:v>595308.17000000004</c:v>
                </c:pt>
                <c:pt idx="346">
                  <c:v>592390.28</c:v>
                </c:pt>
                <c:pt idx="347">
                  <c:v>554571.62</c:v>
                </c:pt>
                <c:pt idx="348">
                  <c:v>555118.31999999995</c:v>
                </c:pt>
                <c:pt idx="349">
                  <c:v>545445.69999999995</c:v>
                </c:pt>
                <c:pt idx="350">
                  <c:v>557177.62</c:v>
                </c:pt>
                <c:pt idx="351">
                  <c:v>557177.62</c:v>
                </c:pt>
                <c:pt idx="352">
                  <c:v>557177.62</c:v>
                </c:pt>
              </c:numCache>
            </c:numRef>
          </c:val>
          <c:smooth val="0"/>
          <c:extLst>
            <c:ext xmlns:c16="http://schemas.microsoft.com/office/drawing/2014/chart" uri="{C3380CC4-5D6E-409C-BE32-E72D297353CC}">
              <c16:uniqueId val="{00000000-0F42-4BEF-90B8-5A4C53749D6C}"/>
            </c:ext>
          </c:extLst>
        </c:ser>
        <c:dLbls>
          <c:showLegendKey val="0"/>
          <c:showVal val="0"/>
          <c:showCatName val="0"/>
          <c:showSerName val="0"/>
          <c:showPercent val="0"/>
          <c:showBubbleSize val="0"/>
        </c:dLbls>
        <c:smooth val="0"/>
        <c:axId val="416921480"/>
        <c:axId val="416919520"/>
      </c:lineChart>
      <c:dateAx>
        <c:axId val="416921480"/>
        <c:scaling>
          <c:orientation val="minMax"/>
        </c:scaling>
        <c:delete val="0"/>
        <c:axPos val="b"/>
        <c:numFmt formatCode="[$-409]m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19520"/>
        <c:crosses val="autoZero"/>
        <c:auto val="1"/>
        <c:lblOffset val="100"/>
        <c:baseTimeUnit val="days"/>
        <c:majorUnit val="30"/>
        <c:majorTimeUnit val="days"/>
        <c:minorUnit val="4"/>
        <c:minorTimeUnit val="months"/>
      </c:dateAx>
      <c:valAx>
        <c:axId val="416919520"/>
        <c:scaling>
          <c:orientation val="minMax"/>
          <c:max val="700000"/>
          <c:min val="100000"/>
        </c:scaling>
        <c:delete val="0"/>
        <c:axPos val="l"/>
        <c:majorGridlines>
          <c:spPr>
            <a:ln w="9525" cap="flat" cmpd="sng" algn="ctr">
              <a:solidFill>
                <a:schemeClr val="accent1"/>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1480"/>
        <c:crossesAt val="42737"/>
        <c:crossBetween val="between"/>
      </c:valAx>
      <c:spPr>
        <a:no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Grant Receivable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8365824961535"/>
          <c:y val="0.18097222222222226"/>
          <c:w val="0.82764107611548554"/>
          <c:h val="0.64426837270341208"/>
        </c:manualLayout>
      </c:layout>
      <c:barChart>
        <c:barDir val="col"/>
        <c:grouping val="clustered"/>
        <c:varyColors val="0"/>
        <c:ser>
          <c:idx val="0"/>
          <c:order val="0"/>
          <c:spPr>
            <a:solidFill>
              <a:schemeClr val="accent1"/>
            </a:solidFill>
            <a:ln>
              <a:noFill/>
            </a:ln>
            <a:effectLst/>
          </c:spPr>
          <c:invertIfNegative val="0"/>
          <c:cat>
            <c:numRef>
              <c:f>Data!$F$598:$F$625</c:f>
              <c:numCache>
                <c:formatCode>mmm\-yy</c:formatCode>
                <c:ptCount val="28"/>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numCache>
            </c:numRef>
          </c:cat>
          <c:val>
            <c:numRef>
              <c:f>Data!$G$598:$G$625</c:f>
              <c:numCache>
                <c:formatCode>"$"#,##0_);[Red]\("$"#,##0\)</c:formatCode>
                <c:ptCount val="28"/>
                <c:pt idx="0">
                  <c:v>483670.84</c:v>
                </c:pt>
                <c:pt idx="1">
                  <c:v>403181.63</c:v>
                </c:pt>
                <c:pt idx="2">
                  <c:v>315833.28999999998</c:v>
                </c:pt>
                <c:pt idx="3">
                  <c:v>327170</c:v>
                </c:pt>
                <c:pt idx="4">
                  <c:v>246847.16</c:v>
                </c:pt>
                <c:pt idx="5">
                  <c:v>274391.32</c:v>
                </c:pt>
                <c:pt idx="6">
                  <c:v>311473.07</c:v>
                </c:pt>
                <c:pt idx="7">
                  <c:v>246923.1</c:v>
                </c:pt>
                <c:pt idx="8">
                  <c:v>214783.77</c:v>
                </c:pt>
                <c:pt idx="9">
                  <c:v>264786.40999999997</c:v>
                </c:pt>
                <c:pt idx="10">
                  <c:v>290727.87</c:v>
                </c:pt>
                <c:pt idx="11">
                  <c:v>362006.45</c:v>
                </c:pt>
                <c:pt idx="12">
                  <c:v>494072.83</c:v>
                </c:pt>
                <c:pt idx="13">
                  <c:v>399857.44</c:v>
                </c:pt>
                <c:pt idx="14">
                  <c:v>279188.34999999998</c:v>
                </c:pt>
                <c:pt idx="15">
                  <c:v>302008.53000000003</c:v>
                </c:pt>
                <c:pt idx="16">
                  <c:v>222544.3</c:v>
                </c:pt>
                <c:pt idx="17">
                  <c:v>303528.63</c:v>
                </c:pt>
                <c:pt idx="18">
                  <c:v>279453.21999999997</c:v>
                </c:pt>
                <c:pt idx="19">
                  <c:v>235427.62</c:v>
                </c:pt>
                <c:pt idx="20">
                  <c:v>301323.59999999998</c:v>
                </c:pt>
                <c:pt idx="21">
                  <c:v>355947.69</c:v>
                </c:pt>
                <c:pt idx="22">
                  <c:v>269865.12</c:v>
                </c:pt>
                <c:pt idx="23">
                  <c:v>266721.90000000002</c:v>
                </c:pt>
                <c:pt idx="24">
                  <c:v>413322.14</c:v>
                </c:pt>
                <c:pt idx="25">
                  <c:v>390662.21</c:v>
                </c:pt>
                <c:pt idx="26">
                  <c:v>280467.3</c:v>
                </c:pt>
                <c:pt idx="27">
                  <c:v>318657.40000000002</c:v>
                </c:pt>
              </c:numCache>
            </c:numRef>
          </c:val>
          <c:extLst>
            <c:ext xmlns:c16="http://schemas.microsoft.com/office/drawing/2014/chart" uri="{C3380CC4-5D6E-409C-BE32-E72D297353CC}">
              <c16:uniqueId val="{00000000-F012-4B51-AFCB-B0F5FFD2CD65}"/>
            </c:ext>
          </c:extLst>
        </c:ser>
        <c:dLbls>
          <c:showLegendKey val="0"/>
          <c:showVal val="0"/>
          <c:showCatName val="0"/>
          <c:showSerName val="0"/>
          <c:showPercent val="0"/>
          <c:showBubbleSize val="0"/>
        </c:dLbls>
        <c:gapWidth val="243"/>
        <c:overlap val="-83"/>
        <c:axId val="416922264"/>
        <c:axId val="416922656"/>
      </c:barChart>
      <c:dateAx>
        <c:axId val="41692226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2656"/>
        <c:crosses val="autoZero"/>
        <c:auto val="1"/>
        <c:lblOffset val="100"/>
        <c:baseTimeUnit val="months"/>
      </c:dateAx>
      <c:valAx>
        <c:axId val="4169226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2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Monthly Investment Balance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4226759790619388E-2"/>
          <c:y val="0.16273304546609094"/>
          <c:w val="0.87700178694655129"/>
          <c:h val="0.76967232964074328"/>
        </c:manualLayout>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6350">
                <a:solidFill>
                  <a:schemeClr val="accent1"/>
                </a:solidFill>
              </a:ln>
              <a:effectLst/>
            </c:spPr>
          </c:marker>
          <c:xVal>
            <c:numRef>
              <c:f>Data!$J$526:$J$622</c:f>
              <c:numCache>
                <c:formatCode>mmm\-yy</c:formatCode>
                <c:ptCount val="97"/>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pt idx="40">
                  <c:v>43678</c:v>
                </c:pt>
                <c:pt idx="41">
                  <c:v>43709</c:v>
                </c:pt>
                <c:pt idx="42">
                  <c:v>43739</c:v>
                </c:pt>
                <c:pt idx="43">
                  <c:v>43770</c:v>
                </c:pt>
                <c:pt idx="44">
                  <c:v>43800</c:v>
                </c:pt>
                <c:pt idx="45">
                  <c:v>43831</c:v>
                </c:pt>
                <c:pt idx="46">
                  <c:v>43862</c:v>
                </c:pt>
                <c:pt idx="47">
                  <c:v>43891</c:v>
                </c:pt>
                <c:pt idx="48">
                  <c:v>43922</c:v>
                </c:pt>
                <c:pt idx="49">
                  <c:v>43952</c:v>
                </c:pt>
                <c:pt idx="50">
                  <c:v>43983</c:v>
                </c:pt>
                <c:pt idx="51">
                  <c:v>44013</c:v>
                </c:pt>
                <c:pt idx="52">
                  <c:v>44044</c:v>
                </c:pt>
                <c:pt idx="53">
                  <c:v>44075</c:v>
                </c:pt>
                <c:pt idx="54">
                  <c:v>44105</c:v>
                </c:pt>
                <c:pt idx="55">
                  <c:v>44136</c:v>
                </c:pt>
                <c:pt idx="56">
                  <c:v>44166</c:v>
                </c:pt>
                <c:pt idx="57">
                  <c:v>44197</c:v>
                </c:pt>
                <c:pt idx="58">
                  <c:v>44228</c:v>
                </c:pt>
                <c:pt idx="59">
                  <c:v>44256</c:v>
                </c:pt>
                <c:pt idx="60">
                  <c:v>44287</c:v>
                </c:pt>
                <c:pt idx="61">
                  <c:v>44317</c:v>
                </c:pt>
                <c:pt idx="62">
                  <c:v>44348</c:v>
                </c:pt>
                <c:pt idx="63">
                  <c:v>44378</c:v>
                </c:pt>
                <c:pt idx="64">
                  <c:v>44409</c:v>
                </c:pt>
                <c:pt idx="65">
                  <c:v>44440</c:v>
                </c:pt>
                <c:pt idx="66">
                  <c:v>44470</c:v>
                </c:pt>
                <c:pt idx="67">
                  <c:v>44501</c:v>
                </c:pt>
                <c:pt idx="68">
                  <c:v>44531</c:v>
                </c:pt>
                <c:pt idx="69">
                  <c:v>44562</c:v>
                </c:pt>
                <c:pt idx="70">
                  <c:v>44593</c:v>
                </c:pt>
                <c:pt idx="71">
                  <c:v>44621</c:v>
                </c:pt>
                <c:pt idx="72">
                  <c:v>44652</c:v>
                </c:pt>
                <c:pt idx="73">
                  <c:v>44682</c:v>
                </c:pt>
                <c:pt idx="74">
                  <c:v>44713</c:v>
                </c:pt>
                <c:pt idx="75">
                  <c:v>44743</c:v>
                </c:pt>
                <c:pt idx="76">
                  <c:v>44774</c:v>
                </c:pt>
                <c:pt idx="77">
                  <c:v>44805</c:v>
                </c:pt>
                <c:pt idx="78">
                  <c:v>44835</c:v>
                </c:pt>
                <c:pt idx="79">
                  <c:v>44866</c:v>
                </c:pt>
                <c:pt idx="80">
                  <c:v>44896</c:v>
                </c:pt>
                <c:pt idx="81">
                  <c:v>44927</c:v>
                </c:pt>
                <c:pt idx="82">
                  <c:v>44958</c:v>
                </c:pt>
                <c:pt idx="83">
                  <c:v>44986</c:v>
                </c:pt>
                <c:pt idx="84">
                  <c:v>45017</c:v>
                </c:pt>
                <c:pt idx="85">
                  <c:v>45047</c:v>
                </c:pt>
                <c:pt idx="86">
                  <c:v>45078</c:v>
                </c:pt>
                <c:pt idx="87">
                  <c:v>45108</c:v>
                </c:pt>
                <c:pt idx="88">
                  <c:v>45139</c:v>
                </c:pt>
                <c:pt idx="89">
                  <c:v>45170</c:v>
                </c:pt>
                <c:pt idx="90">
                  <c:v>45200</c:v>
                </c:pt>
                <c:pt idx="91">
                  <c:v>45231</c:v>
                </c:pt>
                <c:pt idx="92">
                  <c:v>45261</c:v>
                </c:pt>
                <c:pt idx="93">
                  <c:v>45292</c:v>
                </c:pt>
                <c:pt idx="94">
                  <c:v>45323</c:v>
                </c:pt>
                <c:pt idx="95">
                  <c:v>45352</c:v>
                </c:pt>
                <c:pt idx="96">
                  <c:v>45383</c:v>
                </c:pt>
              </c:numCache>
            </c:numRef>
          </c:xVal>
          <c:yVal>
            <c:numRef>
              <c:f>Data!$K$526:$K$622</c:f>
              <c:numCache>
                <c:formatCode>_("$"* #,##0_);_("$"* \(#,##0\);_("$"* "-"_);_(@_)</c:formatCode>
                <c:ptCount val="97"/>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pt idx="40">
                  <c:v>174581</c:v>
                </c:pt>
                <c:pt idx="41">
                  <c:v>175832.82</c:v>
                </c:pt>
                <c:pt idx="42">
                  <c:v>176684.91</c:v>
                </c:pt>
                <c:pt idx="43">
                  <c:v>180686.55</c:v>
                </c:pt>
                <c:pt idx="44">
                  <c:v>184417.26</c:v>
                </c:pt>
                <c:pt idx="45">
                  <c:v>186588.03</c:v>
                </c:pt>
                <c:pt idx="46">
                  <c:v>177685.24</c:v>
                </c:pt>
                <c:pt idx="47">
                  <c:v>162398.81</c:v>
                </c:pt>
                <c:pt idx="48">
                  <c:v>175055.83</c:v>
                </c:pt>
                <c:pt idx="49">
                  <c:v>180640.71</c:v>
                </c:pt>
                <c:pt idx="50">
                  <c:v>183627.14</c:v>
                </c:pt>
                <c:pt idx="51">
                  <c:v>191310.14</c:v>
                </c:pt>
                <c:pt idx="52">
                  <c:v>196731.42</c:v>
                </c:pt>
                <c:pt idx="53">
                  <c:v>192424.98</c:v>
                </c:pt>
                <c:pt idx="54">
                  <c:v>189044.54</c:v>
                </c:pt>
                <c:pt idx="55">
                  <c:v>201253.81</c:v>
                </c:pt>
                <c:pt idx="56">
                  <c:v>206549.06</c:v>
                </c:pt>
                <c:pt idx="57">
                  <c:v>204163.62</c:v>
                </c:pt>
                <c:pt idx="58">
                  <c:v>207045.8</c:v>
                </c:pt>
                <c:pt idx="59">
                  <c:v>211866.05</c:v>
                </c:pt>
                <c:pt idx="60">
                  <c:v>218448.38</c:v>
                </c:pt>
                <c:pt idx="61">
                  <c:v>222185</c:v>
                </c:pt>
                <c:pt idx="62">
                  <c:v>222449.07</c:v>
                </c:pt>
                <c:pt idx="63">
                  <c:v>325177.46999999997</c:v>
                </c:pt>
                <c:pt idx="64">
                  <c:v>329419.45</c:v>
                </c:pt>
                <c:pt idx="65">
                  <c:v>318755.06</c:v>
                </c:pt>
                <c:pt idx="66">
                  <c:v>329502.62</c:v>
                </c:pt>
                <c:pt idx="67">
                  <c:v>323833.99</c:v>
                </c:pt>
                <c:pt idx="68">
                  <c:v>334446.53999999998</c:v>
                </c:pt>
                <c:pt idx="69">
                  <c:v>323933.77</c:v>
                </c:pt>
                <c:pt idx="70">
                  <c:v>319586.55</c:v>
                </c:pt>
                <c:pt idx="71">
                  <c:v>422621.04</c:v>
                </c:pt>
                <c:pt idx="72">
                  <c:v>399826.35</c:v>
                </c:pt>
                <c:pt idx="73">
                  <c:v>404182.26</c:v>
                </c:pt>
                <c:pt idx="74">
                  <c:v>378955.05</c:v>
                </c:pt>
                <c:pt idx="75">
                  <c:v>395341.91</c:v>
                </c:pt>
                <c:pt idx="76">
                  <c:v>382796.02</c:v>
                </c:pt>
                <c:pt idx="77">
                  <c:v>357259.36</c:v>
                </c:pt>
                <c:pt idx="78">
                  <c:v>374993.63</c:v>
                </c:pt>
                <c:pt idx="79">
                  <c:v>396685.21</c:v>
                </c:pt>
                <c:pt idx="80">
                  <c:v>385734.14</c:v>
                </c:pt>
                <c:pt idx="81">
                  <c:v>402326.67</c:v>
                </c:pt>
                <c:pt idx="82">
                  <c:v>390206.58</c:v>
                </c:pt>
                <c:pt idx="83">
                  <c:v>396440.66</c:v>
                </c:pt>
                <c:pt idx="84">
                  <c:v>401182.89</c:v>
                </c:pt>
                <c:pt idx="85">
                  <c:v>393246.23</c:v>
                </c:pt>
                <c:pt idx="86">
                  <c:v>408061</c:v>
                </c:pt>
                <c:pt idx="87">
                  <c:v>417521.72</c:v>
                </c:pt>
                <c:pt idx="88">
                  <c:v>410999.58</c:v>
                </c:pt>
                <c:pt idx="89">
                  <c:v>396973.48</c:v>
                </c:pt>
                <c:pt idx="90">
                  <c:v>389315.86</c:v>
                </c:pt>
                <c:pt idx="91">
                  <c:v>415432.2</c:v>
                </c:pt>
                <c:pt idx="92">
                  <c:v>434275.6</c:v>
                </c:pt>
                <c:pt idx="93">
                  <c:v>437155.38</c:v>
                </c:pt>
                <c:pt idx="94">
                  <c:v>449092.16</c:v>
                </c:pt>
                <c:pt idx="95">
                  <c:v>465124.12</c:v>
                </c:pt>
                <c:pt idx="96">
                  <c:v>451645.99</c:v>
                </c:pt>
              </c:numCache>
            </c:numRef>
          </c:yVal>
          <c:smooth val="0"/>
          <c:extLst>
            <c:ext xmlns:c16="http://schemas.microsoft.com/office/drawing/2014/chart" uri="{C3380CC4-5D6E-409C-BE32-E72D297353CC}">
              <c16:uniqueId val="{00000000-BD53-43EE-BFE3-C6318EF4EECF}"/>
            </c:ext>
          </c:extLst>
        </c:ser>
        <c:dLbls>
          <c:showLegendKey val="0"/>
          <c:showVal val="0"/>
          <c:showCatName val="0"/>
          <c:showSerName val="0"/>
          <c:showPercent val="0"/>
          <c:showBubbleSize val="0"/>
        </c:dLbls>
        <c:axId val="416923440"/>
        <c:axId val="416924224"/>
      </c:scatterChart>
      <c:valAx>
        <c:axId val="416923440"/>
        <c:scaling>
          <c:orientation val="minMax"/>
          <c:max val="45700"/>
          <c:min val="4243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4224"/>
        <c:crosses val="autoZero"/>
        <c:crossBetween val="midCat"/>
        <c:majorUnit val="365"/>
        <c:minorUnit val="30"/>
      </c:valAx>
      <c:valAx>
        <c:axId val="416924224"/>
        <c:scaling>
          <c:orientation val="minMax"/>
          <c:max val="475000"/>
          <c:min val="150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3440"/>
        <c:crosses val="autoZero"/>
        <c:crossBetween val="midCat"/>
        <c:majorUnit val="60000"/>
        <c:minorUnit val="1000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Data!$J$526:$J$565</c:f>
              <c:numCache>
                <c:formatCode>mmm\-yy</c:formatCode>
                <c:ptCount val="40"/>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numCache>
            </c:numRef>
          </c:xVal>
          <c:yVal>
            <c:numRef>
              <c:f>Data!$K$526:$K$565</c:f>
              <c:numCache>
                <c:formatCode>_("$"* #,##0_);_("$"* \(#,##0\);_("$"* "-"_);_(@_)</c:formatCode>
                <c:ptCount val="40"/>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numCache>
            </c:numRef>
          </c:yVal>
          <c:smooth val="0"/>
          <c:extLst>
            <c:ext xmlns:c16="http://schemas.microsoft.com/office/drawing/2014/chart" uri="{C3380CC4-5D6E-409C-BE32-E72D297353CC}">
              <c16:uniqueId val="{00000000-312A-42D5-B65F-B9BEC3C77321}"/>
            </c:ext>
          </c:extLst>
        </c:ser>
        <c:dLbls>
          <c:showLegendKey val="0"/>
          <c:showVal val="0"/>
          <c:showCatName val="0"/>
          <c:showSerName val="0"/>
          <c:showPercent val="0"/>
          <c:showBubbleSize val="0"/>
        </c:dLbls>
        <c:axId val="416918344"/>
        <c:axId val="414609576"/>
      </c:scatterChart>
      <c:valAx>
        <c:axId val="416918344"/>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609576"/>
        <c:crosses val="autoZero"/>
        <c:crossBetween val="midCat"/>
      </c:valAx>
      <c:valAx>
        <c:axId val="41460957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1834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Accounts Receivable Aging</a:t>
            </a:r>
          </a:p>
        </c:rich>
      </c:tx>
      <c:layout>
        <c:manualLayout>
          <c:xMode val="edge"/>
          <c:yMode val="edge"/>
          <c:x val="0.15915876524715153"/>
          <c:y val="2.6147135530129081E-2"/>
        </c:manualLayout>
      </c:layout>
      <c:overlay val="0"/>
    </c:title>
    <c:autoTitleDeleted val="0"/>
    <c:plotArea>
      <c:layout>
        <c:manualLayout>
          <c:layoutTarget val="inner"/>
          <c:xMode val="edge"/>
          <c:yMode val="edge"/>
          <c:x val="8.4280366593520228E-2"/>
          <c:y val="0.14469248514323002"/>
          <c:w val="0.65027407695711248"/>
          <c:h val="0.70000490438768714"/>
        </c:manualLayout>
      </c:layout>
      <c:barChart>
        <c:barDir val="col"/>
        <c:grouping val="stacked"/>
        <c:varyColors val="0"/>
        <c:ser>
          <c:idx val="0"/>
          <c:order val="0"/>
          <c:tx>
            <c:strRef>
              <c:f>'April''24 AR Aging '!$B$228</c:f>
              <c:strCache>
                <c:ptCount val="1"/>
                <c:pt idx="0">
                  <c:v>Current Month</c:v>
                </c:pt>
              </c:strCache>
            </c:strRef>
          </c:tx>
          <c:spPr>
            <a:solidFill>
              <a:srgbClr val="0070C0"/>
            </a:solidFill>
          </c:spPr>
          <c:invertIfNegative val="0"/>
          <c:val>
            <c:numRef>
              <c:f>'April''24 AR Aging '!$C$228:$N$228</c:f>
            </c:numRef>
          </c:val>
          <c:extLst>
            <c:ext xmlns:c15="http://schemas.microsoft.com/office/drawing/2012/chart" uri="{02D57815-91ED-43cb-92C2-25804820EDAC}">
              <c15:filteredCategoryTitle>
                <c15:cat>
                  <c:multiLvlStrRef>
                    <c:extLst>
                      <c:ext uri="{02D57815-91ED-43cb-92C2-25804820EDAC}">
                        <c15:formulaRef>
                          <c15:sqref>'April''24 AR Aging '!$C$227:$N$227</c15:sqref>
                        </c15:formulaRef>
                      </c:ext>
                    </c:extLst>
                  </c:multiLvlStrRef>
                </c15:cat>
              </c15:filteredCategoryTitle>
            </c:ext>
            <c:ext xmlns:c16="http://schemas.microsoft.com/office/drawing/2014/chart" uri="{C3380CC4-5D6E-409C-BE32-E72D297353CC}">
              <c16:uniqueId val="{00000000-0123-4EB4-86F4-5B3293A5D00E}"/>
            </c:ext>
          </c:extLst>
        </c:ser>
        <c:ser>
          <c:idx val="1"/>
          <c:order val="1"/>
          <c:tx>
            <c:strRef>
              <c:f>'April''24 AR Aging '!$B$229</c:f>
              <c:strCache>
                <c:ptCount val="1"/>
                <c:pt idx="0">
                  <c:v>Previous Month</c:v>
                </c:pt>
              </c:strCache>
            </c:strRef>
          </c:tx>
          <c:spPr>
            <a:solidFill>
              <a:schemeClr val="accent6">
                <a:lumMod val="40000"/>
                <a:lumOff val="60000"/>
              </a:schemeClr>
            </a:solidFill>
          </c:spPr>
          <c:invertIfNegative val="0"/>
          <c:val>
            <c:numRef>
              <c:f>'April''24 AR Aging '!$C$229:$N$229</c:f>
            </c:numRef>
          </c:val>
          <c:extLst>
            <c:ext xmlns:c15="http://schemas.microsoft.com/office/drawing/2012/chart" uri="{02D57815-91ED-43cb-92C2-25804820EDAC}">
              <c15:filteredCategoryTitle>
                <c15:cat>
                  <c:multiLvlStrRef>
                    <c:extLst>
                      <c:ext uri="{02D57815-91ED-43cb-92C2-25804820EDAC}">
                        <c15:formulaRef>
                          <c15:sqref>'April''24 AR Aging '!$C$227:$N$227</c15:sqref>
                        </c15:formulaRef>
                      </c:ext>
                    </c:extLst>
                  </c:multiLvlStrRef>
                </c15:cat>
              </c15:filteredCategoryTitle>
            </c:ext>
            <c:ext xmlns:c16="http://schemas.microsoft.com/office/drawing/2014/chart" uri="{C3380CC4-5D6E-409C-BE32-E72D297353CC}">
              <c16:uniqueId val="{00000001-0123-4EB4-86F4-5B3293A5D00E}"/>
            </c:ext>
          </c:extLst>
        </c:ser>
        <c:ser>
          <c:idx val="2"/>
          <c:order val="2"/>
          <c:tx>
            <c:strRef>
              <c:f>'April''24 AR Aging '!$B$230</c:f>
              <c:strCache>
                <c:ptCount val="1"/>
                <c:pt idx="0">
                  <c:v>Three Months Ago</c:v>
                </c:pt>
              </c:strCache>
            </c:strRef>
          </c:tx>
          <c:spPr>
            <a:solidFill>
              <a:schemeClr val="accent3">
                <a:lumMod val="75000"/>
              </a:schemeClr>
            </a:solidFill>
          </c:spPr>
          <c:invertIfNegative val="0"/>
          <c:val>
            <c:numRef>
              <c:f>'April''24 AR Aging '!$C$230:$N$230</c:f>
            </c:numRef>
          </c:val>
          <c:extLst>
            <c:ext xmlns:c15="http://schemas.microsoft.com/office/drawing/2012/chart" uri="{02D57815-91ED-43cb-92C2-25804820EDAC}">
              <c15:filteredCategoryTitle>
                <c15:cat>
                  <c:multiLvlStrRef>
                    <c:extLst>
                      <c:ext uri="{02D57815-91ED-43cb-92C2-25804820EDAC}">
                        <c15:formulaRef>
                          <c15:sqref>'April''24 AR Aging '!$C$227:$N$227</c15:sqref>
                        </c15:formulaRef>
                      </c:ext>
                    </c:extLst>
                  </c:multiLvlStrRef>
                </c15:cat>
              </c15:filteredCategoryTitle>
            </c:ext>
            <c:ext xmlns:c16="http://schemas.microsoft.com/office/drawing/2014/chart" uri="{C3380CC4-5D6E-409C-BE32-E72D297353CC}">
              <c16:uniqueId val="{00000002-0123-4EB4-86F4-5B3293A5D00E}"/>
            </c:ext>
          </c:extLst>
        </c:ser>
        <c:ser>
          <c:idx val="3"/>
          <c:order val="3"/>
          <c:tx>
            <c:strRef>
              <c:f>'April''24 AR Aging '!$B$231</c:f>
              <c:strCache>
                <c:ptCount val="1"/>
                <c:pt idx="0">
                  <c:v>Older than Three Months</c:v>
                </c:pt>
              </c:strCache>
            </c:strRef>
          </c:tx>
          <c:spPr>
            <a:solidFill>
              <a:schemeClr val="accent4">
                <a:lumMod val="40000"/>
                <a:lumOff val="60000"/>
              </a:schemeClr>
            </a:solidFill>
          </c:spPr>
          <c:invertIfNegative val="0"/>
          <c:val>
            <c:numRef>
              <c:f>'April''24 AR Aging '!$C$231:$N$231</c:f>
            </c:numRef>
          </c:val>
          <c:extLst>
            <c:ext xmlns:c15="http://schemas.microsoft.com/office/drawing/2012/chart" uri="{02D57815-91ED-43cb-92C2-25804820EDAC}">
              <c15:filteredCategoryTitle>
                <c15:cat>
                  <c:multiLvlStrRef>
                    <c:extLst>
                      <c:ext uri="{02D57815-91ED-43cb-92C2-25804820EDAC}">
                        <c15:formulaRef>
                          <c15:sqref>'April''24 AR Aging '!$C$227:$N$227</c15:sqref>
                        </c15:formulaRef>
                      </c:ext>
                    </c:extLst>
                  </c:multiLvlStrRef>
                </c15:cat>
              </c15:filteredCategoryTitle>
            </c:ext>
            <c:ext xmlns:c16="http://schemas.microsoft.com/office/drawing/2014/chart" uri="{C3380CC4-5D6E-409C-BE32-E72D297353CC}">
              <c16:uniqueId val="{00000003-0123-4EB4-86F4-5B3293A5D00E}"/>
            </c:ext>
          </c:extLst>
        </c:ser>
        <c:dLbls>
          <c:showLegendKey val="0"/>
          <c:showVal val="0"/>
          <c:showCatName val="0"/>
          <c:showSerName val="0"/>
          <c:showPercent val="0"/>
          <c:showBubbleSize val="0"/>
        </c:dLbls>
        <c:gapWidth val="56"/>
        <c:overlap val="100"/>
        <c:axId val="414608400"/>
        <c:axId val="414609184"/>
      </c:barChart>
      <c:catAx>
        <c:axId val="414608400"/>
        <c:scaling>
          <c:orientation val="minMax"/>
        </c:scaling>
        <c:delete val="0"/>
        <c:axPos val="b"/>
        <c:numFmt formatCode="[$-409]mmmm\-yy;@" sourceLinked="1"/>
        <c:majorTickMark val="none"/>
        <c:minorTickMark val="none"/>
        <c:tickLblPos val="nextTo"/>
        <c:spPr>
          <a:noFill/>
          <a:ln w="22225"/>
        </c:spPr>
        <c:crossAx val="414609184"/>
        <c:crosses val="autoZero"/>
        <c:auto val="0"/>
        <c:lblAlgn val="ctr"/>
        <c:lblOffset val="100"/>
        <c:tickLblSkip val="1"/>
        <c:noMultiLvlLbl val="0"/>
      </c:catAx>
      <c:valAx>
        <c:axId val="414609184"/>
        <c:scaling>
          <c:orientation val="minMax"/>
        </c:scaling>
        <c:delete val="0"/>
        <c:axPos val="l"/>
        <c:majorGridlines/>
        <c:numFmt formatCode="&quot;$&quot;#,##0_);[Red]\(&quot;$&quot;#,##0\)" sourceLinked="1"/>
        <c:majorTickMark val="none"/>
        <c:minorTickMark val="none"/>
        <c:tickLblPos val="nextTo"/>
        <c:crossAx val="414608400"/>
        <c:crosses val="autoZero"/>
        <c:crossBetween val="between"/>
      </c:valAx>
    </c:plotArea>
    <c:legend>
      <c:legendPos val="r"/>
      <c:overlay val="0"/>
    </c:legend>
    <c:plotVisOnly val="1"/>
    <c:dispBlanksAs val="gap"/>
    <c:showDLblsOverMax val="0"/>
  </c:chart>
  <c:printSettings>
    <c:headerFooter/>
    <c:pageMargins b="0.75000000000000167" l="0.95000000000000062" r="0.95000000000000062" t="0.75000000000000167" header="0.30000000000000032" footer="0.30000000000000032"/>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104775</xdr:colOff>
      <xdr:row>5</xdr:row>
      <xdr:rowOff>0</xdr:rowOff>
    </xdr:from>
    <xdr:to>
      <xdr:col>7</xdr:col>
      <xdr:colOff>714375</xdr:colOff>
      <xdr:row>7</xdr:row>
      <xdr:rowOff>942975</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17</xdr:row>
      <xdr:rowOff>180976</xdr:rowOff>
    </xdr:from>
    <xdr:to>
      <xdr:col>7</xdr:col>
      <xdr:colOff>981075</xdr:colOff>
      <xdr:row>20</xdr:row>
      <xdr:rowOff>1028701</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57149</xdr:colOff>
      <xdr:row>24</xdr:row>
      <xdr:rowOff>28575</xdr:rowOff>
    </xdr:from>
    <xdr:to>
      <xdr:col>7</xdr:col>
      <xdr:colOff>1076324</xdr:colOff>
      <xdr:row>31</xdr:row>
      <xdr:rowOff>171450</xdr:rowOff>
    </xdr:to>
    <xdr:graphicFrame macro="">
      <xdr:nvGraphicFramePr>
        <xdr:cNvPr id="8" name="Chart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333375</xdr:colOff>
      <xdr:row>535</xdr:row>
      <xdr:rowOff>166687</xdr:rowOff>
    </xdr:from>
    <xdr:to>
      <xdr:col>20</xdr:col>
      <xdr:colOff>104775</xdr:colOff>
      <xdr:row>551</xdr:row>
      <xdr:rowOff>14287</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3695700</xdr:colOff>
      <xdr:row>221</xdr:row>
      <xdr:rowOff>47625</xdr:rowOff>
    </xdr:from>
    <xdr:to>
      <xdr:col>8</xdr:col>
      <xdr:colOff>523875</xdr:colOff>
      <xdr:row>258</xdr:row>
      <xdr:rowOff>19049</xdr:rowOff>
    </xdr:to>
    <xdr:graphicFrame macro="">
      <xdr:nvGraphicFramePr>
        <xdr:cNvPr id="6" name="Chart 5">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Finance\John%20Ray\2021-05-25%20Updated%20Operating%20%20Budget%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Finance\Maureen\Transportation%20Programs\2022%20Transportation\Breakeven%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ray\Documents\Audit%20&amp;%20Finanace%20Committe\CCCHC%20Financial%20Report%2012%2031%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ng Budget"/>
      <sheetName val="CARTS Summary"/>
      <sheetName val="6 Mth Budget"/>
      <sheetName val="RHN"/>
      <sheetName val="Tobacco"/>
      <sheetName val="Navigator"/>
      <sheetName val="NY Connects"/>
      <sheetName val="HEALing"/>
      <sheetName val="Transportaton"/>
      <sheetName val="Dyson"/>
      <sheetName val="County"/>
      <sheetName val="Greene County"/>
      <sheetName val="ICAN"/>
      <sheetName val="Admin"/>
    </sheetNames>
    <sheetDataSet>
      <sheetData sheetId="0"/>
      <sheetData sheetId="1"/>
      <sheetData sheetId="2"/>
      <sheetData sheetId="3"/>
      <sheetData sheetId="4"/>
      <sheetData sheetId="5"/>
      <sheetData sheetId="6"/>
      <sheetData sheetId="7"/>
      <sheetData sheetId="8">
        <row r="46">
          <cell r="N46">
            <v>0</v>
          </cell>
          <cell r="O46">
            <v>0</v>
          </cell>
          <cell r="P46">
            <v>0</v>
          </cell>
          <cell r="Q46">
            <v>0</v>
          </cell>
          <cell r="R46">
            <v>0</v>
          </cell>
          <cell r="S46">
            <v>0</v>
          </cell>
        </row>
      </sheetData>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d  Operating Budget"/>
      <sheetName val="Notes"/>
      <sheetName val="Data"/>
      <sheetName val="Updated Operating Budget"/>
      <sheetName val="August'22 Revenues &amp; Expenses"/>
      <sheetName val="August'22 AR Aging "/>
      <sheetName val="August'22 Financial Position"/>
      <sheetName val="August'22 State of Activities"/>
      <sheetName val="Breakeven"/>
      <sheetName val="Historic"/>
      <sheetName val="Sheet1"/>
      <sheetName val="June'20 Transportation"/>
      <sheetName val="Transportation Projections"/>
      <sheetName val="2019 Budget"/>
      <sheetName val="2017 Medicaid Revenue"/>
      <sheetName val="Budget"/>
      <sheetName val="YE Historic Data"/>
    </sheetNames>
    <sheetDataSet>
      <sheetData sheetId="0"/>
      <sheetData sheetId="1"/>
      <sheetData sheetId="2"/>
      <sheetData sheetId="3"/>
      <sheetData sheetId="4"/>
      <sheetData sheetId="5"/>
      <sheetData sheetId="6"/>
      <sheetData sheetId="7">
        <row r="3">
          <cell r="A3" t="str">
            <v>Eight Months Ended August 31, 2022 and 2021</v>
          </cell>
        </row>
      </sheetData>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d  Operating Budget"/>
      <sheetName val="Notes"/>
      <sheetName val="Data"/>
      <sheetName val="Updated Operating Budget"/>
      <sheetName val="December'21 Revenues &amp; Expenses"/>
      <sheetName val="December'21 AR Aging "/>
      <sheetName val="December'21 Financial Position"/>
      <sheetName val="December'21 State of Activities"/>
      <sheetName val="December'21 Transportation"/>
      <sheetName val="June'20 Transportation"/>
      <sheetName val="Transportation Projections"/>
      <sheetName val="2019 Budget"/>
      <sheetName val="2017 Medicaid Revenue"/>
      <sheetName val="Budget"/>
      <sheetName val="YE Historic Data"/>
    </sheetNames>
    <sheetDataSet>
      <sheetData sheetId="0"/>
      <sheetData sheetId="1"/>
      <sheetData sheetId="2"/>
      <sheetData sheetId="3"/>
      <sheetData sheetId="4"/>
      <sheetData sheetId="5"/>
      <sheetData sheetId="6"/>
      <sheetData sheetId="7">
        <row r="26">
          <cell r="H26">
            <v>52740</v>
          </cell>
        </row>
      </sheetData>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72"/>
  <sheetViews>
    <sheetView topLeftCell="A4" zoomScale="70" zoomScaleNormal="70" workbookViewId="0">
      <selection activeCell="K8" sqref="K8"/>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5.625" style="45" customWidth="1"/>
    <col min="7" max="9" width="26.875" customWidth="1"/>
    <col min="10" max="10" width="1.75" customWidth="1"/>
    <col min="11" max="11" width="26.875" customWidth="1"/>
    <col min="12" max="12" width="15.25" bestFit="1" customWidth="1"/>
    <col min="13" max="13" width="10.625" customWidth="1"/>
    <col min="15" max="15" width="10" bestFit="1" customWidth="1"/>
    <col min="17" max="17" width="11.5" bestFit="1" customWidth="1"/>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57" ht="22.5" customHeight="1" x14ac:dyDescent="0.4">
      <c r="A1" s="46" t="s">
        <v>93</v>
      </c>
      <c r="B1" s="47"/>
      <c r="C1" s="48"/>
      <c r="D1" s="48"/>
      <c r="E1" s="48"/>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row>
    <row r="2" spans="1:57" ht="22.5" customHeight="1" x14ac:dyDescent="0.4">
      <c r="A2" s="46" t="s">
        <v>406</v>
      </c>
      <c r="B2" s="47"/>
      <c r="C2" s="48"/>
      <c r="D2" s="48"/>
      <c r="E2" s="48"/>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row>
    <row r="3" spans="1:57" ht="22.5" customHeight="1" x14ac:dyDescent="0.4">
      <c r="A3" s="46" t="s">
        <v>430</v>
      </c>
      <c r="B3" s="47"/>
      <c r="C3" s="48"/>
      <c r="D3" s="48"/>
      <c r="E3" s="48"/>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row>
    <row r="4" spans="1:57" s="50" customFormat="1" ht="8.25" customHeight="1" thickBot="1" x14ac:dyDescent="0.25">
      <c r="A4" s="49"/>
      <c r="B4" s="49"/>
      <c r="C4" s="49"/>
      <c r="D4" s="49"/>
      <c r="E4" s="49"/>
      <c r="F4" s="49"/>
    </row>
    <row r="5" spans="1:57" s="53" customFormat="1" ht="24.75" customHeight="1" thickTop="1" thickBot="1" x14ac:dyDescent="0.25">
      <c r="A5" s="51" t="s">
        <v>107</v>
      </c>
      <c r="B5" s="51"/>
      <c r="C5" s="51"/>
      <c r="D5" s="51"/>
      <c r="E5" s="51"/>
      <c r="F5" s="51"/>
      <c r="G5" s="787" t="s">
        <v>49</v>
      </c>
      <c r="H5" s="787"/>
      <c r="I5" s="787"/>
      <c r="J5" s="787"/>
      <c r="K5" s="787"/>
      <c r="L5" s="336" t="s">
        <v>180</v>
      </c>
      <c r="M5" s="333" t="s">
        <v>192</v>
      </c>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row>
    <row r="6" spans="1:57" s="55" customFormat="1" ht="8.25" customHeight="1" thickTop="1" x14ac:dyDescent="0.2">
      <c r="A6" s="54"/>
      <c r="B6" s="54"/>
      <c r="C6" s="54"/>
      <c r="D6" s="54"/>
      <c r="E6" s="54"/>
      <c r="F6" s="54"/>
    </row>
    <row r="7" spans="1:57" s="55" customFormat="1" ht="75.75" customHeight="1" thickBot="1" x14ac:dyDescent="0.25">
      <c r="A7" s="54"/>
      <c r="B7" s="66" t="s">
        <v>99</v>
      </c>
      <c r="C7" s="66"/>
      <c r="D7" s="66"/>
      <c r="E7" s="66"/>
      <c r="F7" s="66"/>
      <c r="G7" s="330" t="s">
        <v>431</v>
      </c>
      <c r="H7" s="634" t="s">
        <v>432</v>
      </c>
      <c r="I7" s="634" t="s">
        <v>433</v>
      </c>
      <c r="J7" s="634"/>
      <c r="K7" s="635" t="s">
        <v>438</v>
      </c>
      <c r="L7" s="788" t="s">
        <v>410</v>
      </c>
      <c r="M7" s="788"/>
    </row>
    <row r="8" spans="1:57" s="55" customFormat="1" ht="20.25" x14ac:dyDescent="0.2">
      <c r="A8" s="54"/>
      <c r="B8" s="54"/>
      <c r="C8" s="58" t="s">
        <v>100</v>
      </c>
      <c r="D8" s="58"/>
      <c r="E8" s="58"/>
      <c r="F8" s="54"/>
      <c r="G8" s="202">
        <v>200992</v>
      </c>
      <c r="H8" s="202">
        <v>507048</v>
      </c>
      <c r="I8" s="202">
        <f>G8+H8</f>
        <v>708040</v>
      </c>
      <c r="J8" s="202"/>
      <c r="K8" s="202">
        <v>700893</v>
      </c>
      <c r="L8" s="317">
        <f>I8-K8</f>
        <v>7147</v>
      </c>
      <c r="M8" s="334">
        <f>(I8-K8)/K8</f>
        <v>1.0196991552205544E-2</v>
      </c>
    </row>
    <row r="9" spans="1:57" s="55" customFormat="1" ht="20.25" x14ac:dyDescent="0.2">
      <c r="A9" s="54"/>
      <c r="B9" s="54"/>
      <c r="C9" s="58" t="s">
        <v>149</v>
      </c>
      <c r="D9" s="58"/>
      <c r="E9" s="58"/>
      <c r="F9" s="54"/>
      <c r="G9" s="193">
        <v>18908</v>
      </c>
      <c r="H9" s="193">
        <v>61000</v>
      </c>
      <c r="I9" s="193">
        <f>G9+H9</f>
        <v>79908</v>
      </c>
      <c r="J9" s="193"/>
      <c r="K9" s="193">
        <v>90000</v>
      </c>
      <c r="L9" s="409">
        <f>I9-K9</f>
        <v>-10092</v>
      </c>
      <c r="M9" s="334">
        <f t="shared" ref="M9:M28" si="0">(I9-K9)/K9</f>
        <v>-0.11213333333333333</v>
      </c>
    </row>
    <row r="10" spans="1:57" s="55" customFormat="1" ht="20.25" x14ac:dyDescent="0.2">
      <c r="A10" s="54"/>
      <c r="B10" s="54"/>
      <c r="C10" s="58" t="s">
        <v>178</v>
      </c>
      <c r="D10" s="58"/>
      <c r="E10" s="58"/>
      <c r="F10" s="54"/>
      <c r="G10" s="193">
        <v>16159</v>
      </c>
      <c r="H10" s="193">
        <v>25547</v>
      </c>
      <c r="I10" s="193">
        <f>G10+H10</f>
        <v>41706</v>
      </c>
      <c r="J10" s="193"/>
      <c r="K10" s="193">
        <v>50397</v>
      </c>
      <c r="L10" s="409">
        <f>I10-K10</f>
        <v>-8691</v>
      </c>
      <c r="M10" s="334">
        <f t="shared" si="0"/>
        <v>-0.17245074111554259</v>
      </c>
    </row>
    <row r="11" spans="1:57" s="55" customFormat="1" ht="20.25" x14ac:dyDescent="0.2">
      <c r="A11" s="54"/>
      <c r="B11" s="54"/>
      <c r="C11" s="58" t="s">
        <v>101</v>
      </c>
      <c r="D11" s="58"/>
      <c r="E11" s="58"/>
      <c r="F11" s="54"/>
      <c r="G11" s="193"/>
      <c r="H11" s="193"/>
      <c r="I11" s="193">
        <f t="shared" ref="I11:I28" si="1">G11+H11</f>
        <v>0</v>
      </c>
      <c r="J11" s="193"/>
      <c r="K11" s="193"/>
      <c r="L11" s="409"/>
      <c r="M11" s="334"/>
    </row>
    <row r="12" spans="1:57" s="55" customFormat="1" ht="20.25" x14ac:dyDescent="0.2">
      <c r="A12" s="54"/>
      <c r="B12" s="54"/>
      <c r="D12" s="58" t="s">
        <v>138</v>
      </c>
      <c r="E12" s="58"/>
      <c r="F12" s="54"/>
      <c r="G12" s="193">
        <v>78605</v>
      </c>
      <c r="H12" s="193">
        <f>239968-H10-H13-H14</f>
        <v>121781</v>
      </c>
      <c r="I12" s="193">
        <f t="shared" si="1"/>
        <v>200386</v>
      </c>
      <c r="J12" s="193"/>
      <c r="K12" s="193">
        <v>169789</v>
      </c>
      <c r="L12" s="409">
        <f t="shared" ref="L12:L28" si="2">I12-K12</f>
        <v>30597</v>
      </c>
      <c r="M12" s="334">
        <f t="shared" si="0"/>
        <v>0.18020602041357214</v>
      </c>
      <c r="O12" s="386"/>
      <c r="P12" s="385"/>
      <c r="Q12" s="385"/>
    </row>
    <row r="13" spans="1:57" s="55" customFormat="1" ht="20.25" x14ac:dyDescent="0.2">
      <c r="A13" s="54"/>
      <c r="B13" s="54"/>
      <c r="D13" s="58" t="s">
        <v>158</v>
      </c>
      <c r="E13" s="58"/>
      <c r="F13" s="54"/>
      <c r="G13" s="193">
        <v>6000</v>
      </c>
      <c r="H13" s="193">
        <f>1500*8</f>
        <v>12000</v>
      </c>
      <c r="I13" s="193">
        <f t="shared" si="1"/>
        <v>18000</v>
      </c>
      <c r="J13" s="193"/>
      <c r="K13" s="193">
        <v>18000</v>
      </c>
      <c r="L13" s="409">
        <f t="shared" si="2"/>
        <v>0</v>
      </c>
      <c r="M13" s="334">
        <f t="shared" si="0"/>
        <v>0</v>
      </c>
      <c r="O13" s="318"/>
      <c r="P13" s="387"/>
      <c r="Q13" s="304"/>
    </row>
    <row r="14" spans="1:57" s="55" customFormat="1" ht="20.25" x14ac:dyDescent="0.2">
      <c r="A14" s="54"/>
      <c r="B14" s="54"/>
      <c r="C14" s="58"/>
      <c r="D14" s="58" t="s">
        <v>399</v>
      </c>
      <c r="E14" s="58"/>
      <c r="F14" s="54"/>
      <c r="G14" s="193">
        <v>39088</v>
      </c>
      <c r="H14" s="193">
        <v>80640</v>
      </c>
      <c r="I14" s="193">
        <f t="shared" si="1"/>
        <v>119728</v>
      </c>
      <c r="J14" s="193"/>
      <c r="K14" s="193">
        <v>114072</v>
      </c>
      <c r="L14" s="409">
        <f t="shared" si="2"/>
        <v>5656</v>
      </c>
      <c r="M14" s="334">
        <f t="shared" si="0"/>
        <v>4.9582719685812467E-2</v>
      </c>
      <c r="O14" s="318"/>
      <c r="P14" s="387"/>
      <c r="Q14" s="304"/>
    </row>
    <row r="15" spans="1:57" s="55" customFormat="1" ht="20.25" x14ac:dyDescent="0.2">
      <c r="A15" s="54"/>
      <c r="B15" s="54"/>
      <c r="C15" s="58" t="s">
        <v>374</v>
      </c>
      <c r="D15" s="58"/>
      <c r="E15" s="58"/>
      <c r="F15" s="54"/>
      <c r="G15" s="193">
        <v>5511</v>
      </c>
      <c r="H15" s="193">
        <f>17000-G15</f>
        <v>11489</v>
      </c>
      <c r="I15" s="193">
        <f t="shared" si="1"/>
        <v>17000</v>
      </c>
      <c r="J15" s="193"/>
      <c r="K15" s="193">
        <v>17000</v>
      </c>
      <c r="L15" s="409">
        <f t="shared" si="2"/>
        <v>0</v>
      </c>
      <c r="M15" s="334">
        <f t="shared" si="0"/>
        <v>0</v>
      </c>
      <c r="O15" s="318"/>
      <c r="P15" s="387"/>
      <c r="Q15" s="304"/>
    </row>
    <row r="16" spans="1:57" s="55" customFormat="1" ht="20.25" x14ac:dyDescent="0.2">
      <c r="A16" s="54"/>
      <c r="B16" s="54"/>
      <c r="C16" s="58" t="s">
        <v>109</v>
      </c>
      <c r="D16" s="58"/>
      <c r="E16" s="58"/>
      <c r="F16" s="54"/>
      <c r="G16" s="193">
        <v>228</v>
      </c>
      <c r="H16" s="193">
        <v>684</v>
      </c>
      <c r="I16" s="193">
        <f t="shared" si="1"/>
        <v>912</v>
      </c>
      <c r="J16" s="193"/>
      <c r="K16" s="193">
        <v>1200</v>
      </c>
      <c r="L16" s="409">
        <f t="shared" si="2"/>
        <v>-288</v>
      </c>
      <c r="M16" s="334">
        <f t="shared" si="0"/>
        <v>-0.24</v>
      </c>
      <c r="O16" s="318"/>
      <c r="P16" s="387"/>
      <c r="Q16" s="304"/>
    </row>
    <row r="17" spans="1:17" s="55" customFormat="1" ht="20.25" x14ac:dyDescent="0.2">
      <c r="A17" s="54"/>
      <c r="B17" s="54"/>
      <c r="C17" s="58" t="s">
        <v>236</v>
      </c>
      <c r="D17" s="58"/>
      <c r="E17" s="58"/>
      <c r="F17" s="54"/>
      <c r="G17" s="193">
        <v>-405</v>
      </c>
      <c r="H17" s="193">
        <f>400*8-1000</f>
        <v>2200</v>
      </c>
      <c r="I17" s="193">
        <f t="shared" si="1"/>
        <v>1795</v>
      </c>
      <c r="J17" s="193"/>
      <c r="K17" s="193">
        <v>4680</v>
      </c>
      <c r="L17" s="409">
        <f t="shared" si="2"/>
        <v>-2885</v>
      </c>
      <c r="M17" s="334">
        <f t="shared" si="0"/>
        <v>-0.61645299145299148</v>
      </c>
      <c r="O17" s="318"/>
      <c r="P17" s="387"/>
      <c r="Q17" s="304"/>
    </row>
    <row r="18" spans="1:17" s="55" customFormat="1" ht="20.25" x14ac:dyDescent="0.2">
      <c r="A18" s="54"/>
      <c r="B18" s="54"/>
      <c r="C18" s="58" t="s">
        <v>318</v>
      </c>
      <c r="D18" s="58"/>
      <c r="E18" s="58"/>
      <c r="F18" s="54"/>
      <c r="G18" s="193">
        <v>12304</v>
      </c>
      <c r="H18" s="193">
        <v>1500</v>
      </c>
      <c r="I18" s="193">
        <f t="shared" si="1"/>
        <v>13804</v>
      </c>
      <c r="J18" s="193"/>
      <c r="K18" s="193">
        <v>1500</v>
      </c>
      <c r="L18" s="409">
        <f t="shared" si="2"/>
        <v>12304</v>
      </c>
      <c r="M18" s="334">
        <f t="shared" si="0"/>
        <v>8.2026666666666674</v>
      </c>
      <c r="O18" s="318"/>
      <c r="P18" s="387"/>
      <c r="Q18" s="304"/>
    </row>
    <row r="19" spans="1:17" s="55" customFormat="1" ht="20.25" x14ac:dyDescent="0.2">
      <c r="A19" s="54"/>
      <c r="B19" s="54"/>
      <c r="C19" s="58" t="s">
        <v>411</v>
      </c>
      <c r="D19" s="58"/>
      <c r="E19" s="58"/>
      <c r="F19" s="54"/>
      <c r="G19" s="193"/>
      <c r="H19" s="193"/>
      <c r="I19" s="193">
        <f t="shared" si="1"/>
        <v>0</v>
      </c>
      <c r="J19" s="193"/>
      <c r="K19" s="193"/>
      <c r="L19" s="409">
        <f t="shared" si="2"/>
        <v>0</v>
      </c>
      <c r="M19" s="334"/>
      <c r="O19" s="318"/>
      <c r="P19" s="387"/>
      <c r="Q19" s="304"/>
    </row>
    <row r="20" spans="1:17" s="55" customFormat="1" ht="20.25" x14ac:dyDescent="0.2">
      <c r="A20" s="54"/>
      <c r="B20" s="54"/>
      <c r="C20" s="58"/>
      <c r="D20" s="58" t="s">
        <v>11</v>
      </c>
      <c r="E20" s="58"/>
      <c r="F20" s="54"/>
      <c r="G20" s="193">
        <f>10047-3000</f>
        <v>7047</v>
      </c>
      <c r="H20" s="193">
        <f>65179-H21-12000</f>
        <v>21179</v>
      </c>
      <c r="I20" s="193">
        <f t="shared" si="1"/>
        <v>28226</v>
      </c>
      <c r="J20" s="193"/>
      <c r="K20" s="193">
        <f>79293-48000</f>
        <v>31293</v>
      </c>
      <c r="L20" s="409">
        <f t="shared" si="2"/>
        <v>-3067</v>
      </c>
      <c r="M20" s="334">
        <f t="shared" si="0"/>
        <v>-9.8009139424152361E-2</v>
      </c>
      <c r="O20" s="318"/>
      <c r="P20" s="387"/>
      <c r="Q20" s="304"/>
    </row>
    <row r="21" spans="1:17" s="55" customFormat="1" ht="20.25" x14ac:dyDescent="0.2">
      <c r="A21" s="54"/>
      <c r="B21" s="54"/>
      <c r="C21" s="591"/>
      <c r="D21" s="58" t="s">
        <v>17</v>
      </c>
      <c r="E21" s="591"/>
      <c r="F21" s="591"/>
      <c r="G21" s="193">
        <f>48000/12*4</f>
        <v>16000</v>
      </c>
      <c r="H21" s="193">
        <f>48000-G21</f>
        <v>32000</v>
      </c>
      <c r="I21" s="193">
        <f t="shared" si="1"/>
        <v>48000</v>
      </c>
      <c r="J21" s="193"/>
      <c r="K21" s="193">
        <v>48000</v>
      </c>
      <c r="L21" s="409">
        <f t="shared" si="2"/>
        <v>0</v>
      </c>
      <c r="M21" s="334">
        <f t="shared" si="0"/>
        <v>0</v>
      </c>
      <c r="O21" s="318"/>
      <c r="P21" s="387"/>
      <c r="Q21" s="304"/>
    </row>
    <row r="22" spans="1:17" s="55" customFormat="1" ht="20.25" x14ac:dyDescent="0.2">
      <c r="A22" s="54"/>
      <c r="B22" s="54"/>
      <c r="C22" s="591"/>
      <c r="D22" s="58" t="s">
        <v>434</v>
      </c>
      <c r="E22" s="591"/>
      <c r="F22" s="591"/>
      <c r="G22" s="193">
        <v>3000</v>
      </c>
      <c r="H22" s="193">
        <v>12000</v>
      </c>
      <c r="I22" s="193">
        <f t="shared" si="1"/>
        <v>15000</v>
      </c>
      <c r="J22" s="193"/>
      <c r="K22" s="193">
        <v>0</v>
      </c>
      <c r="L22" s="409">
        <f t="shared" si="2"/>
        <v>15000</v>
      </c>
      <c r="M22" s="334"/>
      <c r="O22" s="318"/>
      <c r="P22" s="387"/>
      <c r="Q22" s="304"/>
    </row>
    <row r="23" spans="1:17" s="55" customFormat="1" ht="20.25" x14ac:dyDescent="0.2">
      <c r="A23" s="54"/>
      <c r="B23" s="54"/>
      <c r="C23" s="58" t="s">
        <v>320</v>
      </c>
      <c r="D23" s="591"/>
      <c r="E23" s="591"/>
      <c r="F23" s="591"/>
      <c r="G23" s="193">
        <v>3150</v>
      </c>
      <c r="H23" s="193">
        <v>0</v>
      </c>
      <c r="I23" s="193">
        <f t="shared" si="1"/>
        <v>3150</v>
      </c>
      <c r="J23" s="193"/>
      <c r="K23" s="193"/>
      <c r="L23" s="409">
        <f t="shared" si="2"/>
        <v>3150</v>
      </c>
      <c r="M23" s="334"/>
      <c r="O23" s="318"/>
      <c r="P23" s="387"/>
      <c r="Q23" s="304"/>
    </row>
    <row r="24" spans="1:17" s="55" customFormat="1" ht="20.25" x14ac:dyDescent="0.2">
      <c r="A24" s="54"/>
      <c r="B24" s="54"/>
      <c r="C24" s="58" t="s">
        <v>108</v>
      </c>
      <c r="D24" s="591"/>
      <c r="E24" s="591"/>
      <c r="F24" s="591"/>
      <c r="G24" s="193">
        <v>17580</v>
      </c>
      <c r="H24" s="193">
        <f>H35</f>
        <v>35160</v>
      </c>
      <c r="I24" s="193">
        <f t="shared" si="1"/>
        <v>52740</v>
      </c>
      <c r="J24" s="193"/>
      <c r="K24" s="193">
        <v>46576</v>
      </c>
      <c r="L24" s="409">
        <f t="shared" si="2"/>
        <v>6164</v>
      </c>
      <c r="M24" s="334">
        <f t="shared" si="0"/>
        <v>0.13234283751288217</v>
      </c>
      <c r="O24" s="318"/>
      <c r="P24" s="387"/>
      <c r="Q24" s="304"/>
    </row>
    <row r="25" spans="1:17" s="55" customFormat="1" ht="20.25" x14ac:dyDescent="0.2">
      <c r="A25" s="54"/>
      <c r="B25" s="54"/>
      <c r="C25" s="58" t="s">
        <v>414</v>
      </c>
      <c r="D25" s="591"/>
      <c r="E25" s="591"/>
      <c r="F25" s="591"/>
      <c r="G25" s="193">
        <v>5055</v>
      </c>
      <c r="H25" s="193">
        <f>15000+250</f>
        <v>15250</v>
      </c>
      <c r="I25" s="193">
        <f t="shared" si="1"/>
        <v>20305</v>
      </c>
      <c r="J25" s="193"/>
      <c r="K25" s="193">
        <v>21600</v>
      </c>
      <c r="L25" s="409">
        <f t="shared" si="2"/>
        <v>-1295</v>
      </c>
      <c r="M25" s="334">
        <f t="shared" si="0"/>
        <v>-5.9953703703703703E-2</v>
      </c>
      <c r="O25" s="318"/>
      <c r="P25" s="387"/>
      <c r="Q25" s="304"/>
    </row>
    <row r="26" spans="1:17" s="55" customFormat="1" ht="20.25" x14ac:dyDescent="0.2">
      <c r="A26" s="54"/>
      <c r="B26" s="54"/>
      <c r="C26" s="58" t="s">
        <v>101</v>
      </c>
      <c r="D26" s="591"/>
      <c r="E26" s="591"/>
      <c r="F26" s="591"/>
      <c r="G26" s="193">
        <f>18500/12*4</f>
        <v>6166.666666666667</v>
      </c>
      <c r="H26" s="193">
        <f>18500-G26</f>
        <v>12333.333333333332</v>
      </c>
      <c r="I26" s="193">
        <f t="shared" si="1"/>
        <v>18500</v>
      </c>
      <c r="J26" s="193"/>
      <c r="K26" s="193">
        <v>19000</v>
      </c>
      <c r="L26" s="409">
        <f t="shared" si="2"/>
        <v>-500</v>
      </c>
      <c r="M26" s="334">
        <f t="shared" si="0"/>
        <v>-2.6315789473684209E-2</v>
      </c>
      <c r="O26" s="318"/>
      <c r="P26" s="387"/>
      <c r="Q26" s="304"/>
    </row>
    <row r="27" spans="1:17" s="55" customFormat="1" ht="20.25" x14ac:dyDescent="0.2">
      <c r="A27" s="54"/>
      <c r="B27" s="54"/>
      <c r="C27" s="58" t="s">
        <v>317</v>
      </c>
      <c r="D27" s="591"/>
      <c r="E27" s="591"/>
      <c r="F27" s="591"/>
      <c r="G27" s="193">
        <f>41600/12*4</f>
        <v>13866.666666666666</v>
      </c>
      <c r="H27" s="193">
        <f>3466.67*8</f>
        <v>27733.360000000001</v>
      </c>
      <c r="I27" s="193">
        <f t="shared" si="1"/>
        <v>41600.026666666665</v>
      </c>
      <c r="J27" s="193"/>
      <c r="K27" s="193">
        <v>50000</v>
      </c>
      <c r="L27" s="409">
        <f t="shared" si="2"/>
        <v>-8399.9733333333352</v>
      </c>
      <c r="M27" s="334">
        <f t="shared" si="0"/>
        <v>-0.16799946666666671</v>
      </c>
      <c r="O27" s="318"/>
      <c r="P27" s="387"/>
      <c r="Q27" s="304"/>
    </row>
    <row r="28" spans="1:17" s="55" customFormat="1" ht="20.25" x14ac:dyDescent="0.2">
      <c r="A28" s="54"/>
      <c r="B28" s="54"/>
      <c r="C28" s="58" t="s">
        <v>319</v>
      </c>
      <c r="D28" s="591"/>
      <c r="E28" s="591"/>
      <c r="F28" s="591"/>
      <c r="G28" s="193">
        <f>27832-G26-G27</f>
        <v>7798.6666666666661</v>
      </c>
      <c r="H28" s="193">
        <v>11317</v>
      </c>
      <c r="I28" s="193">
        <f t="shared" si="1"/>
        <v>19115.666666666664</v>
      </c>
      <c r="J28" s="193"/>
      <c r="K28" s="193">
        <v>16835</v>
      </c>
      <c r="L28" s="409">
        <f t="shared" si="2"/>
        <v>2280.6666666666642</v>
      </c>
      <c r="M28" s="334">
        <f t="shared" si="0"/>
        <v>0.13547173547173533</v>
      </c>
      <c r="O28" s="318"/>
      <c r="P28" s="387"/>
      <c r="Q28" s="304"/>
    </row>
    <row r="29" spans="1:17" s="55" customFormat="1" ht="20.25" x14ac:dyDescent="0.2">
      <c r="A29" s="54"/>
      <c r="B29" s="54"/>
      <c r="C29" s="58"/>
      <c r="D29" s="54" t="s">
        <v>104</v>
      </c>
      <c r="E29" s="58"/>
      <c r="F29" s="54"/>
      <c r="G29" s="201">
        <f>SUM(G8:G28)</f>
        <v>457054.00000000006</v>
      </c>
      <c r="H29" s="201">
        <f>SUM(H8:H28)</f>
        <v>990861.69333333336</v>
      </c>
      <c r="I29" s="201">
        <f>SUM(I8:I28)</f>
        <v>1447915.6933333334</v>
      </c>
      <c r="J29" s="201"/>
      <c r="K29" s="201">
        <f>SUM(K8:K28)</f>
        <v>1400835</v>
      </c>
      <c r="L29" s="598">
        <f>SUM(L8:L28)</f>
        <v>47080.693333333329</v>
      </c>
      <c r="M29" s="599">
        <f>L29/K29</f>
        <v>3.3609021286113872E-2</v>
      </c>
    </row>
    <row r="30" spans="1:17" s="55" customFormat="1" ht="20.25" x14ac:dyDescent="0.2">
      <c r="A30" s="54"/>
      <c r="B30" s="54"/>
      <c r="C30" s="58"/>
      <c r="D30" s="54"/>
      <c r="E30" s="58"/>
      <c r="F30" s="54"/>
      <c r="G30" s="193"/>
      <c r="H30" s="193"/>
      <c r="I30" s="193"/>
      <c r="J30" s="193"/>
      <c r="K30" s="480"/>
    </row>
    <row r="31" spans="1:17" s="55" customFormat="1" ht="21" thickBot="1" x14ac:dyDescent="0.25">
      <c r="A31" s="54"/>
      <c r="B31" s="66" t="s">
        <v>110</v>
      </c>
      <c r="C31" s="66"/>
      <c r="D31" s="66"/>
      <c r="E31" s="66"/>
      <c r="F31" s="66"/>
      <c r="G31" s="193"/>
      <c r="H31" s="193"/>
      <c r="I31" s="193"/>
      <c r="J31" s="193"/>
    </row>
    <row r="32" spans="1:17" s="55" customFormat="1" ht="20.25" x14ac:dyDescent="0.2">
      <c r="A32" s="54"/>
      <c r="B32" s="54"/>
      <c r="C32" s="58" t="s">
        <v>111</v>
      </c>
      <c r="D32" s="58"/>
      <c r="E32" s="58"/>
      <c r="F32" s="58"/>
      <c r="G32" s="193">
        <v>276045.51</v>
      </c>
      <c r="H32" s="193">
        <v>641500</v>
      </c>
      <c r="I32" s="193">
        <f>SUM(G32:H32)</f>
        <v>917545.51</v>
      </c>
      <c r="J32" s="193"/>
      <c r="K32" s="600">
        <v>932770</v>
      </c>
      <c r="L32" s="409">
        <f>I32-K32</f>
        <v>-15224.489999999991</v>
      </c>
      <c r="M32" s="354">
        <f>L32/K32</f>
        <v>-1.6321804946557019E-2</v>
      </c>
    </row>
    <row r="33" spans="1:15" s="55" customFormat="1" ht="20.25" x14ac:dyDescent="0.2">
      <c r="A33" s="54"/>
      <c r="B33" s="54"/>
      <c r="C33" s="58" t="s">
        <v>112</v>
      </c>
      <c r="D33" s="58"/>
      <c r="E33" s="58"/>
      <c r="F33" s="58"/>
      <c r="G33" s="193">
        <f>60096.8</f>
        <v>60096.800000000003</v>
      </c>
      <c r="H33" s="193">
        <v>131256</v>
      </c>
      <c r="I33" s="193">
        <f>SUM(G33:H33)</f>
        <v>191352.8</v>
      </c>
      <c r="J33" s="193"/>
      <c r="K33" s="230">
        <v>181856</v>
      </c>
      <c r="L33" s="409">
        <f>I33-K33</f>
        <v>9496.7999999999884</v>
      </c>
      <c r="M33" s="354">
        <f>L33/K33</f>
        <v>5.2221537920112554E-2</v>
      </c>
    </row>
    <row r="34" spans="1:15" s="55" customFormat="1" ht="20.25" x14ac:dyDescent="0.2">
      <c r="A34" s="54"/>
      <c r="B34" s="54"/>
      <c r="C34" s="58" t="s">
        <v>113</v>
      </c>
      <c r="D34" s="58"/>
      <c r="E34" s="58"/>
      <c r="F34" s="58"/>
      <c r="G34" s="193">
        <v>600</v>
      </c>
      <c r="H34" s="193">
        <f>150*8</f>
        <v>1200</v>
      </c>
      <c r="I34" s="193">
        <f t="shared" ref="I34:K49" si="3">SUM(G34:H34)</f>
        <v>1800</v>
      </c>
      <c r="J34" s="193"/>
      <c r="K34" s="230">
        <v>1800</v>
      </c>
      <c r="L34" s="409">
        <f t="shared" ref="L34:L49" si="4">I34-K34</f>
        <v>0</v>
      </c>
      <c r="M34" s="354">
        <f t="shared" ref="M34:M49" si="5">L34/K34</f>
        <v>0</v>
      </c>
    </row>
    <row r="35" spans="1:15" s="55" customFormat="1" ht="20.25" x14ac:dyDescent="0.2">
      <c r="A35" s="54"/>
      <c r="B35" s="54"/>
      <c r="C35" s="58" t="s">
        <v>103</v>
      </c>
      <c r="D35" s="58"/>
      <c r="E35" s="58"/>
      <c r="F35" s="58"/>
      <c r="G35" s="193">
        <v>17580</v>
      </c>
      <c r="H35" s="193">
        <f>G35/4*8</f>
        <v>35160</v>
      </c>
      <c r="I35" s="193">
        <f t="shared" si="3"/>
        <v>52740</v>
      </c>
      <c r="J35" s="193"/>
      <c r="K35" s="230">
        <v>46576</v>
      </c>
      <c r="L35" s="409">
        <f t="shared" si="4"/>
        <v>6164</v>
      </c>
      <c r="M35" s="354">
        <f t="shared" si="5"/>
        <v>0.13234283751288217</v>
      </c>
    </row>
    <row r="36" spans="1:15" s="55" customFormat="1" ht="20.25" x14ac:dyDescent="0.2">
      <c r="A36" s="54"/>
      <c r="B36" s="54"/>
      <c r="C36" s="58" t="s">
        <v>114</v>
      </c>
      <c r="D36" s="58"/>
      <c r="E36" s="58"/>
      <c r="F36" s="58"/>
      <c r="G36" s="193">
        <v>6970</v>
      </c>
      <c r="H36" s="193">
        <v>13232</v>
      </c>
      <c r="I36" s="193">
        <f t="shared" si="3"/>
        <v>20202</v>
      </c>
      <c r="J36" s="193"/>
      <c r="K36" s="230">
        <v>19873</v>
      </c>
      <c r="L36" s="409">
        <f t="shared" si="4"/>
        <v>329</v>
      </c>
      <c r="M36" s="354">
        <f t="shared" si="5"/>
        <v>1.6555125044029589E-2</v>
      </c>
    </row>
    <row r="37" spans="1:15" s="55" customFormat="1" ht="20.25" x14ac:dyDescent="0.2">
      <c r="A37" s="54"/>
      <c r="B37" s="54"/>
      <c r="C37" s="58" t="s">
        <v>115</v>
      </c>
      <c r="D37" s="58"/>
      <c r="E37" s="58"/>
      <c r="F37" s="58"/>
      <c r="G37" s="193">
        <v>983</v>
      </c>
      <c r="H37" s="193">
        <f>2736-983</f>
        <v>1753</v>
      </c>
      <c r="I37" s="193">
        <f t="shared" si="3"/>
        <v>2736</v>
      </c>
      <c r="J37" s="193"/>
      <c r="K37" s="230">
        <v>2736</v>
      </c>
      <c r="L37" s="409">
        <f t="shared" si="4"/>
        <v>0</v>
      </c>
      <c r="M37" s="354">
        <f t="shared" si="5"/>
        <v>0</v>
      </c>
      <c r="O37" s="576"/>
    </row>
    <row r="38" spans="1:15" s="55" customFormat="1" ht="20.25" x14ac:dyDescent="0.2">
      <c r="A38" s="54"/>
      <c r="B38" s="54"/>
      <c r="C38" s="58" t="s">
        <v>116</v>
      </c>
      <c r="D38" s="58"/>
      <c r="E38" s="58"/>
      <c r="F38" s="58"/>
      <c r="G38" s="193">
        <v>1426</v>
      </c>
      <c r="H38" s="193">
        <v>4352</v>
      </c>
      <c r="I38" s="193">
        <f t="shared" si="3"/>
        <v>5778</v>
      </c>
      <c r="J38" s="193"/>
      <c r="K38" s="230">
        <v>5022</v>
      </c>
      <c r="L38" s="409">
        <f t="shared" si="4"/>
        <v>756</v>
      </c>
      <c r="M38" s="354">
        <f t="shared" si="5"/>
        <v>0.15053763440860216</v>
      </c>
    </row>
    <row r="39" spans="1:15" s="55" customFormat="1" ht="20.25" x14ac:dyDescent="0.2">
      <c r="A39" s="54"/>
      <c r="B39" s="54"/>
      <c r="C39" s="58" t="s">
        <v>117</v>
      </c>
      <c r="D39" s="58"/>
      <c r="E39" s="58"/>
      <c r="F39" s="58"/>
      <c r="G39" s="193">
        <v>286</v>
      </c>
      <c r="H39" s="193">
        <v>7958</v>
      </c>
      <c r="I39" s="193">
        <f t="shared" si="3"/>
        <v>8244</v>
      </c>
      <c r="J39" s="193"/>
      <c r="K39" s="230">
        <v>6244</v>
      </c>
      <c r="L39" s="409">
        <f t="shared" si="4"/>
        <v>2000</v>
      </c>
      <c r="M39" s="354">
        <f t="shared" si="5"/>
        <v>0.32030749519538759</v>
      </c>
    </row>
    <row r="40" spans="1:15" s="55" customFormat="1" ht="20.25" x14ac:dyDescent="0.2">
      <c r="A40" s="54"/>
      <c r="B40" s="54"/>
      <c r="C40" s="58" t="s">
        <v>118</v>
      </c>
      <c r="D40" s="58"/>
      <c r="E40" s="58"/>
      <c r="F40" s="58"/>
      <c r="G40" s="193">
        <v>14139</v>
      </c>
      <c r="H40" s="193">
        <f>27582</f>
        <v>27582</v>
      </c>
      <c r="I40" s="193">
        <f t="shared" si="3"/>
        <v>41721</v>
      </c>
      <c r="J40" s="193"/>
      <c r="K40" s="230">
        <v>40180</v>
      </c>
      <c r="L40" s="409">
        <f t="shared" si="4"/>
        <v>1541</v>
      </c>
      <c r="M40" s="354">
        <f t="shared" si="5"/>
        <v>3.8352414136386265E-2</v>
      </c>
      <c r="O40" s="204"/>
    </row>
    <row r="41" spans="1:15" s="55" customFormat="1" ht="20.25" x14ac:dyDescent="0.2">
      <c r="A41" s="54"/>
      <c r="B41" s="54"/>
      <c r="C41" s="58" t="s">
        <v>119</v>
      </c>
      <c r="D41" s="58"/>
      <c r="E41" s="58"/>
      <c r="F41" s="58"/>
      <c r="G41" s="193">
        <v>2253</v>
      </c>
      <c r="H41" s="193">
        <v>2960</v>
      </c>
      <c r="I41" s="193">
        <f t="shared" si="3"/>
        <v>5213</v>
      </c>
      <c r="J41" s="193"/>
      <c r="K41" s="230">
        <v>4270</v>
      </c>
      <c r="L41" s="409">
        <f t="shared" si="4"/>
        <v>943</v>
      </c>
      <c r="M41" s="354">
        <f t="shared" si="5"/>
        <v>0.2208430913348946</v>
      </c>
    </row>
    <row r="42" spans="1:15" s="55" customFormat="1" ht="20.25" x14ac:dyDescent="0.2">
      <c r="A42" s="54"/>
      <c r="B42" s="54"/>
      <c r="C42" s="58" t="s">
        <v>120</v>
      </c>
      <c r="D42" s="58"/>
      <c r="E42" s="58"/>
      <c r="F42" s="58"/>
      <c r="G42" s="193">
        <v>386</v>
      </c>
      <c r="H42" s="193">
        <f>1020-G42</f>
        <v>634</v>
      </c>
      <c r="I42" s="193">
        <f t="shared" si="3"/>
        <v>1020</v>
      </c>
      <c r="J42" s="193"/>
      <c r="K42" s="230">
        <v>1020</v>
      </c>
      <c r="L42" s="409">
        <f t="shared" si="4"/>
        <v>0</v>
      </c>
      <c r="M42" s="354">
        <f t="shared" si="5"/>
        <v>0</v>
      </c>
    </row>
    <row r="43" spans="1:15" s="55" customFormat="1" ht="20.25" x14ac:dyDescent="0.2">
      <c r="A43" s="54"/>
      <c r="B43" s="54"/>
      <c r="C43" s="58" t="s">
        <v>165</v>
      </c>
      <c r="D43" s="58"/>
      <c r="E43" s="58"/>
      <c r="F43" s="58"/>
      <c r="G43" s="193">
        <v>10200</v>
      </c>
      <c r="H43" s="193">
        <f>2800+125+25</f>
        <v>2950</v>
      </c>
      <c r="I43" s="193">
        <f t="shared" si="3"/>
        <v>13150</v>
      </c>
      <c r="J43" s="193"/>
      <c r="K43" s="230">
        <v>13618</v>
      </c>
      <c r="L43" s="409">
        <f t="shared" si="4"/>
        <v>-468</v>
      </c>
      <c r="M43" s="354">
        <f t="shared" si="5"/>
        <v>-3.4366279923630491E-2</v>
      </c>
    </row>
    <row r="44" spans="1:15" s="55" customFormat="1" ht="20.25" x14ac:dyDescent="0.2">
      <c r="A44" s="54"/>
      <c r="B44" s="54"/>
      <c r="C44" s="789" t="s">
        <v>322</v>
      </c>
      <c r="D44" s="789"/>
      <c r="E44" s="789"/>
      <c r="F44" s="789"/>
      <c r="G44" s="193"/>
      <c r="H44" s="193">
        <f>SUM([1]Transportaton!N46:S46)</f>
        <v>0</v>
      </c>
      <c r="I44" s="193">
        <f t="shared" si="3"/>
        <v>0</v>
      </c>
      <c r="J44" s="193"/>
      <c r="K44" s="193">
        <f t="shared" si="3"/>
        <v>0</v>
      </c>
      <c r="L44" s="409">
        <f t="shared" si="4"/>
        <v>0</v>
      </c>
      <c r="M44" s="354"/>
      <c r="O44" s="578"/>
    </row>
    <row r="45" spans="1:15" s="55" customFormat="1" ht="20.25" x14ac:dyDescent="0.2">
      <c r="A45" s="54"/>
      <c r="B45" s="54"/>
      <c r="C45" s="58" t="s">
        <v>121</v>
      </c>
      <c r="D45" s="58"/>
      <c r="E45" s="58"/>
      <c r="F45" s="58"/>
      <c r="G45" s="193">
        <v>7626</v>
      </c>
      <c r="H45" s="193">
        <v>7740</v>
      </c>
      <c r="I45" s="193">
        <f t="shared" si="3"/>
        <v>15366</v>
      </c>
      <c r="J45" s="193"/>
      <c r="K45" s="230">
        <v>13802</v>
      </c>
      <c r="L45" s="409">
        <f t="shared" si="4"/>
        <v>1564</v>
      </c>
      <c r="M45" s="354">
        <f t="shared" si="5"/>
        <v>0.11331691059266773</v>
      </c>
    </row>
    <row r="46" spans="1:15" s="55" customFormat="1" ht="20.25" x14ac:dyDescent="0.2">
      <c r="A46" s="54"/>
      <c r="B46" s="54"/>
      <c r="C46" s="58" t="s">
        <v>122</v>
      </c>
      <c r="D46" s="58"/>
      <c r="E46" s="58"/>
      <c r="F46" s="58"/>
      <c r="G46" s="193">
        <v>3742</v>
      </c>
      <c r="H46" s="193">
        <v>7566</v>
      </c>
      <c r="I46" s="193">
        <f t="shared" si="3"/>
        <v>11308</v>
      </c>
      <c r="J46" s="193"/>
      <c r="K46" s="230">
        <v>10740</v>
      </c>
      <c r="L46" s="409">
        <f t="shared" si="4"/>
        <v>568</v>
      </c>
      <c r="M46" s="354">
        <f t="shared" si="5"/>
        <v>5.2886405959031657E-2</v>
      </c>
      <c r="O46" s="578"/>
    </row>
    <row r="47" spans="1:15" s="55" customFormat="1" ht="20.25" x14ac:dyDescent="0.2">
      <c r="A47" s="54"/>
      <c r="B47" s="54"/>
      <c r="C47" s="58" t="s">
        <v>129</v>
      </c>
      <c r="D47" s="58"/>
      <c r="E47" s="58"/>
      <c r="F47" s="58"/>
      <c r="G47" s="193">
        <v>340</v>
      </c>
      <c r="H47" s="193">
        <v>1140</v>
      </c>
      <c r="I47" s="193">
        <f t="shared" si="3"/>
        <v>1480</v>
      </c>
      <c r="J47" s="193"/>
      <c r="K47" s="230">
        <v>1470</v>
      </c>
      <c r="L47" s="409">
        <f t="shared" si="4"/>
        <v>10</v>
      </c>
      <c r="M47" s="354">
        <f t="shared" si="5"/>
        <v>6.8027210884353739E-3</v>
      </c>
    </row>
    <row r="48" spans="1:15" s="55" customFormat="1" ht="20.25" x14ac:dyDescent="0.2">
      <c r="A48" s="54"/>
      <c r="B48" s="54"/>
      <c r="C48" s="58" t="s">
        <v>123</v>
      </c>
      <c r="D48" s="58"/>
      <c r="E48" s="58"/>
      <c r="F48" s="58"/>
      <c r="G48" s="193"/>
      <c r="H48" s="193">
        <v>2500</v>
      </c>
      <c r="I48" s="193">
        <f t="shared" si="3"/>
        <v>2500</v>
      </c>
      <c r="J48" s="193"/>
      <c r="K48" s="230">
        <v>3000</v>
      </c>
      <c r="L48" s="409">
        <f t="shared" si="4"/>
        <v>-500</v>
      </c>
      <c r="M48" s="354">
        <f t="shared" si="5"/>
        <v>-0.16666666666666666</v>
      </c>
      <c r="O48" s="578"/>
    </row>
    <row r="49" spans="1:17" s="55" customFormat="1" ht="20.25" customHeight="1" x14ac:dyDescent="0.2">
      <c r="A49" s="54"/>
      <c r="B49" s="54"/>
      <c r="C49" s="58" t="s">
        <v>198</v>
      </c>
      <c r="D49" s="58"/>
      <c r="E49" s="58"/>
      <c r="F49" s="58"/>
      <c r="G49" s="193">
        <v>462</v>
      </c>
      <c r="H49" s="193">
        <v>4500</v>
      </c>
      <c r="I49" s="193">
        <f t="shared" si="3"/>
        <v>4962</v>
      </c>
      <c r="J49" s="193"/>
      <c r="K49" s="230">
        <v>9980</v>
      </c>
      <c r="L49" s="409">
        <f t="shared" si="4"/>
        <v>-5018</v>
      </c>
      <c r="M49" s="354">
        <f t="shared" si="5"/>
        <v>-0.50280561122244494</v>
      </c>
    </row>
    <row r="50" spans="1:17" s="55" customFormat="1" ht="20.25" x14ac:dyDescent="0.2">
      <c r="A50" s="58"/>
      <c r="B50" s="58"/>
      <c r="C50" s="58" t="s">
        <v>125</v>
      </c>
      <c r="D50" s="58"/>
      <c r="E50" s="58"/>
      <c r="F50" s="58"/>
      <c r="G50" s="193">
        <v>5810</v>
      </c>
      <c r="H50" s="193">
        <v>21380</v>
      </c>
      <c r="I50" s="193">
        <f>G50+H50</f>
        <v>27190</v>
      </c>
      <c r="J50" s="193"/>
      <c r="K50" s="230">
        <v>8437</v>
      </c>
      <c r="L50" s="409">
        <f>I50-K50</f>
        <v>18753</v>
      </c>
      <c r="M50" s="354">
        <f>L50/K50</f>
        <v>2.2227094938959344</v>
      </c>
    </row>
    <row r="51" spans="1:17" s="55" customFormat="1" ht="20.25" x14ac:dyDescent="0.2">
      <c r="A51" s="54"/>
      <c r="B51" s="54"/>
      <c r="C51" s="58" t="s">
        <v>164</v>
      </c>
      <c r="D51" s="58"/>
      <c r="E51" s="58"/>
      <c r="F51" s="58"/>
      <c r="G51" s="193">
        <v>18022</v>
      </c>
      <c r="H51" s="193">
        <v>39426</v>
      </c>
      <c r="I51" s="193">
        <f t="shared" ref="I51:I53" si="6">G51+H51</f>
        <v>57448</v>
      </c>
      <c r="J51" s="193"/>
      <c r="K51" s="230">
        <v>54075</v>
      </c>
      <c r="L51" s="409">
        <f t="shared" ref="L51:L53" si="7">I51-K51</f>
        <v>3373</v>
      </c>
      <c r="M51" s="354">
        <f t="shared" ref="M51:M54" si="8">L51/K51</f>
        <v>6.2376329172445677E-2</v>
      </c>
      <c r="Q51" s="285"/>
    </row>
    <row r="52" spans="1:17" s="55" customFormat="1" ht="20.25" x14ac:dyDescent="0.2">
      <c r="A52" s="54"/>
      <c r="B52" s="54"/>
      <c r="C52" s="58" t="s">
        <v>126</v>
      </c>
      <c r="D52" s="58"/>
      <c r="E52" s="58"/>
      <c r="F52" s="58"/>
      <c r="G52" s="193">
        <v>39998</v>
      </c>
      <c r="H52" s="193">
        <v>31489</v>
      </c>
      <c r="I52" s="193">
        <f t="shared" si="6"/>
        <v>71487</v>
      </c>
      <c r="J52" s="193"/>
      <c r="K52" s="230">
        <v>42592</v>
      </c>
      <c r="L52" s="409">
        <f t="shared" si="7"/>
        <v>28895</v>
      </c>
      <c r="M52" s="354">
        <f t="shared" si="8"/>
        <v>0.67841378662659657</v>
      </c>
    </row>
    <row r="53" spans="1:17" s="55" customFormat="1" ht="21" thickBot="1" x14ac:dyDescent="0.25">
      <c r="A53" s="54"/>
      <c r="B53" s="54"/>
      <c r="C53" s="58" t="s">
        <v>401</v>
      </c>
      <c r="D53" s="58"/>
      <c r="E53" s="58"/>
      <c r="F53" s="58"/>
      <c r="G53" s="200">
        <v>660</v>
      </c>
      <c r="H53" s="195">
        <f>660/4*5</f>
        <v>825</v>
      </c>
      <c r="I53" s="195">
        <f t="shared" si="6"/>
        <v>1485</v>
      </c>
      <c r="J53" s="195"/>
      <c r="K53" s="601">
        <v>1980</v>
      </c>
      <c r="L53" s="412">
        <f t="shared" si="7"/>
        <v>-495</v>
      </c>
      <c r="M53" s="354">
        <f t="shared" si="8"/>
        <v>-0.25</v>
      </c>
    </row>
    <row r="54" spans="1:17" s="55" customFormat="1" ht="20.25" x14ac:dyDescent="0.2">
      <c r="A54" s="58"/>
      <c r="B54" s="58"/>
      <c r="C54" s="54"/>
      <c r="D54" s="54"/>
      <c r="G54" s="193">
        <f>SUM(G32:G53)</f>
        <v>467625.31</v>
      </c>
      <c r="H54" s="193">
        <f>SUM(H32:H53)</f>
        <v>987103</v>
      </c>
      <c r="I54" s="193">
        <f>SUM(I32:I53)</f>
        <v>1454728.31</v>
      </c>
      <c r="J54" s="193"/>
      <c r="K54" s="193">
        <f>SUM(K32:K53)</f>
        <v>1402041</v>
      </c>
      <c r="L54" s="193">
        <f>SUM(L32:L53)</f>
        <v>52687.31</v>
      </c>
      <c r="M54" s="599">
        <f t="shared" si="8"/>
        <v>3.7579008031862121E-2</v>
      </c>
    </row>
    <row r="55" spans="1:17" s="55" customFormat="1" ht="8.25" customHeight="1" x14ac:dyDescent="0.2">
      <c r="A55" s="58"/>
      <c r="B55" s="58"/>
      <c r="C55" s="54"/>
      <c r="D55" s="54"/>
      <c r="G55" s="193"/>
      <c r="H55" s="193"/>
      <c r="I55" s="193"/>
      <c r="J55" s="193"/>
      <c r="K55" s="193"/>
    </row>
    <row r="56" spans="1:17" s="55" customFormat="1" ht="20.25" x14ac:dyDescent="0.2">
      <c r="A56" s="58"/>
      <c r="B56" s="58"/>
      <c r="C56" s="602" t="s">
        <v>415</v>
      </c>
      <c r="D56"/>
      <c r="E56" s="54"/>
      <c r="F56" s="54"/>
      <c r="G56" s="201">
        <f>G29-G54</f>
        <v>-10571.309999999939</v>
      </c>
      <c r="H56" s="201">
        <f>H29-H54</f>
        <v>3758.6933333333582</v>
      </c>
      <c r="I56" s="201">
        <f>G56+H56</f>
        <v>-6812.6166666665813</v>
      </c>
      <c r="J56" s="193"/>
      <c r="K56" s="201">
        <f>K29-K54</f>
        <v>-1206</v>
      </c>
      <c r="L56" s="603">
        <f t="shared" ref="L56" si="9">I56-K56</f>
        <v>-5606.6166666665813</v>
      </c>
      <c r="M56" s="599">
        <f t="shared" ref="M56" si="10">L56/K56</f>
        <v>4.6489358761746118</v>
      </c>
    </row>
    <row r="57" spans="1:17" s="55" customFormat="1" ht="9" customHeight="1" x14ac:dyDescent="0.2">
      <c r="A57" s="58"/>
      <c r="B57" s="58"/>
      <c r="C57" s="58"/>
      <c r="D57" s="58"/>
      <c r="E57" s="58"/>
      <c r="F57" s="58"/>
      <c r="G57" s="193"/>
      <c r="H57" s="193"/>
      <c r="I57" s="193"/>
      <c r="J57" s="193"/>
      <c r="K57" s="193"/>
    </row>
    <row r="58" spans="1:17" s="55" customFormat="1" ht="20.25" x14ac:dyDescent="0.2">
      <c r="A58" s="58"/>
      <c r="B58" s="58"/>
      <c r="C58" s="58" t="s">
        <v>124</v>
      </c>
      <c r="D58" s="58"/>
      <c r="F58" s="58"/>
      <c r="G58" s="193">
        <v>12820</v>
      </c>
      <c r="H58" s="193">
        <f>25640+6</f>
        <v>25646</v>
      </c>
      <c r="I58" s="193">
        <f>G58+H58</f>
        <v>38466</v>
      </c>
      <c r="J58" s="193"/>
      <c r="K58" s="193">
        <v>34092</v>
      </c>
    </row>
    <row r="59" spans="1:17" s="55" customFormat="1" ht="9" customHeight="1" x14ac:dyDescent="0.2">
      <c r="A59" s="58"/>
      <c r="B59" s="58"/>
      <c r="C59" s="58"/>
      <c r="D59" s="58"/>
      <c r="E59" s="58"/>
      <c r="F59" s="58"/>
      <c r="G59" s="193"/>
      <c r="H59" s="193"/>
      <c r="I59" s="193"/>
      <c r="J59" s="193"/>
      <c r="K59" s="193"/>
    </row>
    <row r="60" spans="1:17" s="55" customFormat="1" ht="21" thickBot="1" x14ac:dyDescent="0.25">
      <c r="A60" s="54"/>
      <c r="B60" s="54"/>
      <c r="C60" s="602" t="s">
        <v>416</v>
      </c>
      <c r="D60"/>
      <c r="E60"/>
      <c r="F60"/>
      <c r="G60" s="604">
        <f>G56-G58</f>
        <v>-23391.309999999939</v>
      </c>
      <c r="H60" s="604">
        <f>H56-H58</f>
        <v>-21887.306666666642</v>
      </c>
      <c r="I60" s="604">
        <f>I56-I58</f>
        <v>-45278.616666666581</v>
      </c>
      <c r="J60" s="196"/>
      <c r="K60" s="604">
        <f>K56-K58</f>
        <v>-35298</v>
      </c>
    </row>
    <row r="61" spans="1:17" s="55" customFormat="1" ht="21" thickTop="1" x14ac:dyDescent="0.2">
      <c r="A61" s="54"/>
      <c r="B61" s="54"/>
      <c r="C61" s="54"/>
      <c r="D61" s="54"/>
      <c r="E61" s="54"/>
      <c r="F61" s="54"/>
      <c r="G61" s="196"/>
      <c r="H61" s="196"/>
      <c r="I61" s="196"/>
      <c r="J61" s="196"/>
      <c r="K61" s="196"/>
    </row>
    <row r="62" spans="1:17" s="55" customFormat="1" ht="23.25" x14ac:dyDescent="0.2">
      <c r="A62" s="54"/>
      <c r="B62" s="222"/>
      <c r="C62" s="54"/>
      <c r="D62" s="54"/>
      <c r="E62" s="54"/>
      <c r="F62" s="54"/>
      <c r="G62" s="193"/>
      <c r="H62" s="193"/>
      <c r="I62" s="193"/>
      <c r="J62" s="193"/>
      <c r="K62" s="193"/>
    </row>
    <row r="63" spans="1:17" s="55" customFormat="1" ht="20.25" x14ac:dyDescent="0.2">
      <c r="A63" s="58"/>
      <c r="B63" s="58"/>
      <c r="D63" s="58"/>
      <c r="E63" s="58"/>
      <c r="F63" s="58"/>
      <c r="G63" s="193"/>
      <c r="H63" s="193"/>
      <c r="I63" s="193"/>
      <c r="J63" s="193"/>
      <c r="K63" s="193"/>
    </row>
    <row r="64" spans="1:17" s="55" customFormat="1" ht="20.25" x14ac:dyDescent="0.2">
      <c r="A64" s="58"/>
      <c r="B64" s="58"/>
      <c r="D64" s="58"/>
      <c r="E64" s="58"/>
      <c r="F64" s="54" t="s">
        <v>417</v>
      </c>
      <c r="G64" s="193"/>
      <c r="H64" s="193"/>
      <c r="I64" s="193"/>
      <c r="J64" s="193"/>
      <c r="K64" s="193"/>
    </row>
    <row r="65" spans="1:11" s="55" customFormat="1" ht="20.25" x14ac:dyDescent="0.2">
      <c r="A65" s="54"/>
      <c r="B65" s="54"/>
      <c r="D65" s="58"/>
      <c r="E65" s="54"/>
      <c r="F65" s="636" t="s">
        <v>435</v>
      </c>
      <c r="G65" s="193"/>
      <c r="H65" s="193"/>
      <c r="I65" s="193"/>
      <c r="J65" s="193"/>
      <c r="K65" s="193"/>
    </row>
    <row r="66" spans="1:11" s="55" customFormat="1" ht="23.25" x14ac:dyDescent="0.2">
      <c r="A66" s="54"/>
      <c r="B66" s="222"/>
      <c r="C66" s="54"/>
      <c r="D66" s="54"/>
      <c r="E66" s="54"/>
      <c r="F66" s="636" t="s">
        <v>436</v>
      </c>
      <c r="G66" s="196"/>
      <c r="H66" s="196"/>
      <c r="I66" s="196"/>
      <c r="J66" s="196"/>
      <c r="K66" s="196"/>
    </row>
    <row r="67" spans="1:11" s="55" customFormat="1" ht="20.25" x14ac:dyDescent="0.2">
      <c r="A67" s="54"/>
      <c r="B67" s="54"/>
      <c r="C67" s="54"/>
      <c r="D67" s="54"/>
      <c r="E67" s="54"/>
      <c r="F67" s="636" t="s">
        <v>437</v>
      </c>
      <c r="G67" s="193"/>
      <c r="H67" s="193"/>
      <c r="I67" s="193"/>
      <c r="J67" s="193"/>
      <c r="K67" s="193"/>
    </row>
    <row r="68" spans="1:11" s="62" customFormat="1" ht="26.25" x14ac:dyDescent="0.2">
      <c r="A68" s="219"/>
      <c r="B68" s="219"/>
      <c r="C68" s="219"/>
      <c r="D68" s="219"/>
      <c r="E68" s="219"/>
      <c r="F68" s="219"/>
      <c r="G68" s="196"/>
      <c r="H68" s="196"/>
      <c r="I68" s="196"/>
      <c r="J68" s="196"/>
      <c r="K68" s="196"/>
    </row>
    <row r="69" spans="1:11" ht="20.25" x14ac:dyDescent="0.3">
      <c r="G69" s="227"/>
      <c r="H69" s="227"/>
      <c r="I69" s="227"/>
      <c r="J69" s="227"/>
      <c r="K69" s="227"/>
    </row>
    <row r="70" spans="1:11" ht="20.25" x14ac:dyDescent="0.3">
      <c r="G70" s="227"/>
      <c r="H70" s="227"/>
      <c r="I70" s="227"/>
      <c r="J70" s="227"/>
      <c r="K70" s="227"/>
    </row>
    <row r="71" spans="1:11" ht="20.25" x14ac:dyDescent="0.3">
      <c r="G71" s="227"/>
      <c r="H71" s="227"/>
      <c r="I71" s="227"/>
      <c r="J71" s="227"/>
      <c r="K71" s="227"/>
    </row>
    <row r="72" spans="1:11" ht="20.25" x14ac:dyDescent="0.3">
      <c r="G72" s="224"/>
      <c r="H72" s="224"/>
      <c r="I72" s="224"/>
      <c r="J72" s="224"/>
      <c r="K72" s="224"/>
    </row>
  </sheetData>
  <mergeCells count="3">
    <mergeCell ref="G5:K5"/>
    <mergeCell ref="L7:M7"/>
    <mergeCell ref="C44:F44"/>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D112"/>
  <sheetViews>
    <sheetView topLeftCell="A55" zoomScale="80" zoomScaleNormal="80" workbookViewId="0">
      <selection activeCell="G79" sqref="G78:G79"/>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7.125" style="45" customWidth="1"/>
    <col min="7" max="7" width="22.375" customWidth="1"/>
    <col min="8" max="8" width="1.75" customWidth="1"/>
    <col min="9" max="9" width="22.25" customWidth="1"/>
    <col min="10" max="10" width="10" bestFit="1" customWidth="1"/>
    <col min="11" max="11" width="9" style="258"/>
    <col min="12" max="12" width="11.5" style="157" bestFit="1" customWidth="1"/>
    <col min="13" max="13" width="9" style="258"/>
    <col min="246" max="246" width="2.875" customWidth="1"/>
    <col min="247" max="247" width="8.125" customWidth="1"/>
    <col min="248" max="248" width="8.75" customWidth="1"/>
    <col min="249" max="249" width="11" customWidth="1"/>
    <col min="250" max="250" width="2.875" customWidth="1"/>
    <col min="251" max="251" width="77.625" customWidth="1"/>
    <col min="252" max="252" width="20.875" customWidth="1"/>
    <col min="502" max="502" width="2.875" customWidth="1"/>
    <col min="503" max="503" width="8.125" customWidth="1"/>
    <col min="504" max="504" width="8.75" customWidth="1"/>
    <col min="505" max="505" width="11" customWidth="1"/>
    <col min="506" max="506" width="2.875" customWidth="1"/>
    <col min="507" max="507" width="77.625" customWidth="1"/>
    <col min="508" max="508" width="20.875" customWidth="1"/>
    <col min="758" max="758" width="2.875" customWidth="1"/>
    <col min="759" max="759" width="8.125" customWidth="1"/>
    <col min="760" max="760" width="8.75" customWidth="1"/>
    <col min="761" max="761" width="11" customWidth="1"/>
    <col min="762" max="762" width="2.875" customWidth="1"/>
    <col min="763" max="763" width="77.625" customWidth="1"/>
    <col min="764" max="764" width="20.875" customWidth="1"/>
    <col min="1014" max="1014" width="2.875" customWidth="1"/>
    <col min="1015" max="1015" width="8.125" customWidth="1"/>
    <col min="1016" max="1016" width="8.75" customWidth="1"/>
    <col min="1017" max="1017" width="11" customWidth="1"/>
    <col min="1018" max="1018" width="2.875" customWidth="1"/>
    <col min="1019" max="1019" width="77.625" customWidth="1"/>
    <col min="1020" max="1020" width="20.875" customWidth="1"/>
    <col min="1270" max="1270" width="2.875" customWidth="1"/>
    <col min="1271" max="1271" width="8.125" customWidth="1"/>
    <col min="1272" max="1272" width="8.75" customWidth="1"/>
    <col min="1273" max="1273" width="11" customWidth="1"/>
    <col min="1274" max="1274" width="2.875" customWidth="1"/>
    <col min="1275" max="1275" width="77.625" customWidth="1"/>
    <col min="1276" max="1276" width="20.875" customWidth="1"/>
    <col min="1526" max="1526" width="2.875" customWidth="1"/>
    <col min="1527" max="1527" width="8.125" customWidth="1"/>
    <col min="1528" max="1528" width="8.75" customWidth="1"/>
    <col min="1529" max="1529" width="11" customWidth="1"/>
    <col min="1530" max="1530" width="2.875" customWidth="1"/>
    <col min="1531" max="1531" width="77.625" customWidth="1"/>
    <col min="1532" max="1532" width="20.875" customWidth="1"/>
    <col min="1782" max="1782" width="2.875" customWidth="1"/>
    <col min="1783" max="1783" width="8.125" customWidth="1"/>
    <col min="1784" max="1784" width="8.75" customWidth="1"/>
    <col min="1785" max="1785" width="11" customWidth="1"/>
    <col min="1786" max="1786" width="2.875" customWidth="1"/>
    <col min="1787" max="1787" width="77.625" customWidth="1"/>
    <col min="1788" max="1788" width="20.875" customWidth="1"/>
    <col min="2038" max="2038" width="2.875" customWidth="1"/>
    <col min="2039" max="2039" width="8.125" customWidth="1"/>
    <col min="2040" max="2040" width="8.75" customWidth="1"/>
    <col min="2041" max="2041" width="11" customWidth="1"/>
    <col min="2042" max="2042" width="2.875" customWidth="1"/>
    <col min="2043" max="2043" width="77.625" customWidth="1"/>
    <col min="2044" max="2044" width="20.875" customWidth="1"/>
    <col min="2294" max="2294" width="2.875" customWidth="1"/>
    <col min="2295" max="2295" width="8.125" customWidth="1"/>
    <col min="2296" max="2296" width="8.75" customWidth="1"/>
    <col min="2297" max="2297" width="11" customWidth="1"/>
    <col min="2298" max="2298" width="2.875" customWidth="1"/>
    <col min="2299" max="2299" width="77.625" customWidth="1"/>
    <col min="2300" max="2300" width="20.875" customWidth="1"/>
    <col min="2550" max="2550" width="2.875" customWidth="1"/>
    <col min="2551" max="2551" width="8.125" customWidth="1"/>
    <col min="2552" max="2552" width="8.75" customWidth="1"/>
    <col min="2553" max="2553" width="11" customWidth="1"/>
    <col min="2554" max="2554" width="2.875" customWidth="1"/>
    <col min="2555" max="2555" width="77.625" customWidth="1"/>
    <col min="2556" max="2556" width="20.875" customWidth="1"/>
    <col min="2806" max="2806" width="2.875" customWidth="1"/>
    <col min="2807" max="2807" width="8.125" customWidth="1"/>
    <col min="2808" max="2808" width="8.75" customWidth="1"/>
    <col min="2809" max="2809" width="11" customWidth="1"/>
    <col min="2810" max="2810" width="2.875" customWidth="1"/>
    <col min="2811" max="2811" width="77.625" customWidth="1"/>
    <col min="2812" max="2812" width="20.875" customWidth="1"/>
    <col min="3062" max="3062" width="2.875" customWidth="1"/>
    <col min="3063" max="3063" width="8.125" customWidth="1"/>
    <col min="3064" max="3064" width="8.75" customWidth="1"/>
    <col min="3065" max="3065" width="11" customWidth="1"/>
    <col min="3066" max="3066" width="2.875" customWidth="1"/>
    <col min="3067" max="3067" width="77.625" customWidth="1"/>
    <col min="3068" max="3068" width="20.875" customWidth="1"/>
    <col min="3318" max="3318" width="2.875" customWidth="1"/>
    <col min="3319" max="3319" width="8.125" customWidth="1"/>
    <col min="3320" max="3320" width="8.75" customWidth="1"/>
    <col min="3321" max="3321" width="11" customWidth="1"/>
    <col min="3322" max="3322" width="2.875" customWidth="1"/>
    <col min="3323" max="3323" width="77.625" customWidth="1"/>
    <col min="3324" max="3324" width="20.875" customWidth="1"/>
    <col min="3574" max="3574" width="2.875" customWidth="1"/>
    <col min="3575" max="3575" width="8.125" customWidth="1"/>
    <col min="3576" max="3576" width="8.75" customWidth="1"/>
    <col min="3577" max="3577" width="11" customWidth="1"/>
    <col min="3578" max="3578" width="2.875" customWidth="1"/>
    <col min="3579" max="3579" width="77.625" customWidth="1"/>
    <col min="3580" max="3580" width="20.875" customWidth="1"/>
    <col min="3830" max="3830" width="2.875" customWidth="1"/>
    <col min="3831" max="3831" width="8.125" customWidth="1"/>
    <col min="3832" max="3832" width="8.75" customWidth="1"/>
    <col min="3833" max="3833" width="11" customWidth="1"/>
    <col min="3834" max="3834" width="2.875" customWidth="1"/>
    <col min="3835" max="3835" width="77.625" customWidth="1"/>
    <col min="3836" max="3836" width="20.875" customWidth="1"/>
    <col min="4086" max="4086" width="2.875" customWidth="1"/>
    <col min="4087" max="4087" width="8.125" customWidth="1"/>
    <col min="4088" max="4088" width="8.75" customWidth="1"/>
    <col min="4089" max="4089" width="11" customWidth="1"/>
    <col min="4090" max="4090" width="2.875" customWidth="1"/>
    <col min="4091" max="4091" width="77.625" customWidth="1"/>
    <col min="4092" max="4092" width="20.875" customWidth="1"/>
    <col min="4342" max="4342" width="2.875" customWidth="1"/>
    <col min="4343" max="4343" width="8.125" customWidth="1"/>
    <col min="4344" max="4344" width="8.75" customWidth="1"/>
    <col min="4345" max="4345" width="11" customWidth="1"/>
    <col min="4346" max="4346" width="2.875" customWidth="1"/>
    <col min="4347" max="4347" width="77.625" customWidth="1"/>
    <col min="4348" max="4348" width="20.875" customWidth="1"/>
    <col min="4598" max="4598" width="2.875" customWidth="1"/>
    <col min="4599" max="4599" width="8.125" customWidth="1"/>
    <col min="4600" max="4600" width="8.75" customWidth="1"/>
    <col min="4601" max="4601" width="11" customWidth="1"/>
    <col min="4602" max="4602" width="2.875" customWidth="1"/>
    <col min="4603" max="4603" width="77.625" customWidth="1"/>
    <col min="4604" max="4604" width="20.875" customWidth="1"/>
    <col min="4854" max="4854" width="2.875" customWidth="1"/>
    <col min="4855" max="4855" width="8.125" customWidth="1"/>
    <col min="4856" max="4856" width="8.75" customWidth="1"/>
    <col min="4857" max="4857" width="11" customWidth="1"/>
    <col min="4858" max="4858" width="2.875" customWidth="1"/>
    <col min="4859" max="4859" width="77.625" customWidth="1"/>
    <col min="4860" max="4860" width="20.875" customWidth="1"/>
    <col min="5110" max="5110" width="2.875" customWidth="1"/>
    <col min="5111" max="5111" width="8.125" customWidth="1"/>
    <col min="5112" max="5112" width="8.75" customWidth="1"/>
    <col min="5113" max="5113" width="11" customWidth="1"/>
    <col min="5114" max="5114" width="2.875" customWidth="1"/>
    <col min="5115" max="5115" width="77.625" customWidth="1"/>
    <col min="5116" max="5116" width="20.875" customWidth="1"/>
    <col min="5366" max="5366" width="2.875" customWidth="1"/>
    <col min="5367" max="5367" width="8.125" customWidth="1"/>
    <col min="5368" max="5368" width="8.75" customWidth="1"/>
    <col min="5369" max="5369" width="11" customWidth="1"/>
    <col min="5370" max="5370" width="2.875" customWidth="1"/>
    <col min="5371" max="5371" width="77.625" customWidth="1"/>
    <col min="5372" max="5372" width="20.875" customWidth="1"/>
    <col min="5622" max="5622" width="2.875" customWidth="1"/>
    <col min="5623" max="5623" width="8.125" customWidth="1"/>
    <col min="5624" max="5624" width="8.75" customWidth="1"/>
    <col min="5625" max="5625" width="11" customWidth="1"/>
    <col min="5626" max="5626" width="2.875" customWidth="1"/>
    <col min="5627" max="5627" width="77.625" customWidth="1"/>
    <col min="5628" max="5628" width="20.875" customWidth="1"/>
    <col min="5878" max="5878" width="2.875" customWidth="1"/>
    <col min="5879" max="5879" width="8.125" customWidth="1"/>
    <col min="5880" max="5880" width="8.75" customWidth="1"/>
    <col min="5881" max="5881" width="11" customWidth="1"/>
    <col min="5882" max="5882" width="2.875" customWidth="1"/>
    <col min="5883" max="5883" width="77.625" customWidth="1"/>
    <col min="5884" max="5884" width="20.875" customWidth="1"/>
    <col min="6134" max="6134" width="2.875" customWidth="1"/>
    <col min="6135" max="6135" width="8.125" customWidth="1"/>
    <col min="6136" max="6136" width="8.75" customWidth="1"/>
    <col min="6137" max="6137" width="11" customWidth="1"/>
    <col min="6138" max="6138" width="2.875" customWidth="1"/>
    <col min="6139" max="6139" width="77.625" customWidth="1"/>
    <col min="6140" max="6140" width="20.875" customWidth="1"/>
    <col min="6390" max="6390" width="2.875" customWidth="1"/>
    <col min="6391" max="6391" width="8.125" customWidth="1"/>
    <col min="6392" max="6392" width="8.75" customWidth="1"/>
    <col min="6393" max="6393" width="11" customWidth="1"/>
    <col min="6394" max="6394" width="2.875" customWidth="1"/>
    <col min="6395" max="6395" width="77.625" customWidth="1"/>
    <col min="6396" max="6396" width="20.875" customWidth="1"/>
    <col min="6646" max="6646" width="2.875" customWidth="1"/>
    <col min="6647" max="6647" width="8.125" customWidth="1"/>
    <col min="6648" max="6648" width="8.75" customWidth="1"/>
    <col min="6649" max="6649" width="11" customWidth="1"/>
    <col min="6650" max="6650" width="2.875" customWidth="1"/>
    <col min="6651" max="6651" width="77.625" customWidth="1"/>
    <col min="6652" max="6652" width="20.875" customWidth="1"/>
    <col min="6902" max="6902" width="2.875" customWidth="1"/>
    <col min="6903" max="6903" width="8.125" customWidth="1"/>
    <col min="6904" max="6904" width="8.75" customWidth="1"/>
    <col min="6905" max="6905" width="11" customWidth="1"/>
    <col min="6906" max="6906" width="2.875" customWidth="1"/>
    <col min="6907" max="6907" width="77.625" customWidth="1"/>
    <col min="6908" max="6908" width="20.875" customWidth="1"/>
    <col min="7158" max="7158" width="2.875" customWidth="1"/>
    <col min="7159" max="7159" width="8.125" customWidth="1"/>
    <col min="7160" max="7160" width="8.75" customWidth="1"/>
    <col min="7161" max="7161" width="11" customWidth="1"/>
    <col min="7162" max="7162" width="2.875" customWidth="1"/>
    <col min="7163" max="7163" width="77.625" customWidth="1"/>
    <col min="7164" max="7164" width="20.875" customWidth="1"/>
    <col min="7414" max="7414" width="2.875" customWidth="1"/>
    <col min="7415" max="7415" width="8.125" customWidth="1"/>
    <col min="7416" max="7416" width="8.75" customWidth="1"/>
    <col min="7417" max="7417" width="11" customWidth="1"/>
    <col min="7418" max="7418" width="2.875" customWidth="1"/>
    <col min="7419" max="7419" width="77.625" customWidth="1"/>
    <col min="7420" max="7420" width="20.875" customWidth="1"/>
    <col min="7670" max="7670" width="2.875" customWidth="1"/>
    <col min="7671" max="7671" width="8.125" customWidth="1"/>
    <col min="7672" max="7672" width="8.75" customWidth="1"/>
    <col min="7673" max="7673" width="11" customWidth="1"/>
    <col min="7674" max="7674" width="2.875" customWidth="1"/>
    <col min="7675" max="7675" width="77.625" customWidth="1"/>
    <col min="7676" max="7676" width="20.875" customWidth="1"/>
    <col min="7926" max="7926" width="2.875" customWidth="1"/>
    <col min="7927" max="7927" width="8.125" customWidth="1"/>
    <col min="7928" max="7928" width="8.75" customWidth="1"/>
    <col min="7929" max="7929" width="11" customWidth="1"/>
    <col min="7930" max="7930" width="2.875" customWidth="1"/>
    <col min="7931" max="7931" width="77.625" customWidth="1"/>
    <col min="7932" max="7932" width="20.875" customWidth="1"/>
    <col min="8182" max="8182" width="2.875" customWidth="1"/>
    <col min="8183" max="8183" width="8.125" customWidth="1"/>
    <col min="8184" max="8184" width="8.75" customWidth="1"/>
    <col min="8185" max="8185" width="11" customWidth="1"/>
    <col min="8186" max="8186" width="2.875" customWidth="1"/>
    <col min="8187" max="8187" width="77.625" customWidth="1"/>
    <col min="8188" max="8188" width="20.875" customWidth="1"/>
    <col min="8438" max="8438" width="2.875" customWidth="1"/>
    <col min="8439" max="8439" width="8.125" customWidth="1"/>
    <col min="8440" max="8440" width="8.75" customWidth="1"/>
    <col min="8441" max="8441" width="11" customWidth="1"/>
    <col min="8442" max="8442" width="2.875" customWidth="1"/>
    <col min="8443" max="8443" width="77.625" customWidth="1"/>
    <col min="8444" max="8444" width="20.875" customWidth="1"/>
    <col min="8694" max="8694" width="2.875" customWidth="1"/>
    <col min="8695" max="8695" width="8.125" customWidth="1"/>
    <col min="8696" max="8696" width="8.75" customWidth="1"/>
    <col min="8697" max="8697" width="11" customWidth="1"/>
    <col min="8698" max="8698" width="2.875" customWidth="1"/>
    <col min="8699" max="8699" width="77.625" customWidth="1"/>
    <col min="8700" max="8700" width="20.875" customWidth="1"/>
    <col min="8950" max="8950" width="2.875" customWidth="1"/>
    <col min="8951" max="8951" width="8.125" customWidth="1"/>
    <col min="8952" max="8952" width="8.75" customWidth="1"/>
    <col min="8953" max="8953" width="11" customWidth="1"/>
    <col min="8954" max="8954" width="2.875" customWidth="1"/>
    <col min="8955" max="8955" width="77.625" customWidth="1"/>
    <col min="8956" max="8956" width="20.875" customWidth="1"/>
    <col min="9206" max="9206" width="2.875" customWidth="1"/>
    <col min="9207" max="9207" width="8.125" customWidth="1"/>
    <col min="9208" max="9208" width="8.75" customWidth="1"/>
    <col min="9209" max="9209" width="11" customWidth="1"/>
    <col min="9210" max="9210" width="2.875" customWidth="1"/>
    <col min="9211" max="9211" width="77.625" customWidth="1"/>
    <col min="9212" max="9212" width="20.875" customWidth="1"/>
    <col min="9462" max="9462" width="2.875" customWidth="1"/>
    <col min="9463" max="9463" width="8.125" customWidth="1"/>
    <col min="9464" max="9464" width="8.75" customWidth="1"/>
    <col min="9465" max="9465" width="11" customWidth="1"/>
    <col min="9466" max="9466" width="2.875" customWidth="1"/>
    <col min="9467" max="9467" width="77.625" customWidth="1"/>
    <col min="9468" max="9468" width="20.875" customWidth="1"/>
    <col min="9718" max="9718" width="2.875" customWidth="1"/>
    <col min="9719" max="9719" width="8.125" customWidth="1"/>
    <col min="9720" max="9720" width="8.75" customWidth="1"/>
    <col min="9721" max="9721" width="11" customWidth="1"/>
    <col min="9722" max="9722" width="2.875" customWidth="1"/>
    <col min="9723" max="9723" width="77.625" customWidth="1"/>
    <col min="9724" max="9724" width="20.875" customWidth="1"/>
    <col min="9974" max="9974" width="2.875" customWidth="1"/>
    <col min="9975" max="9975" width="8.125" customWidth="1"/>
    <col min="9976" max="9976" width="8.75" customWidth="1"/>
    <col min="9977" max="9977" width="11" customWidth="1"/>
    <col min="9978" max="9978" width="2.875" customWidth="1"/>
    <col min="9979" max="9979" width="77.625" customWidth="1"/>
    <col min="9980" max="9980" width="20.875" customWidth="1"/>
    <col min="10230" max="10230" width="2.875" customWidth="1"/>
    <col min="10231" max="10231" width="8.125" customWidth="1"/>
    <col min="10232" max="10232" width="8.75" customWidth="1"/>
    <col min="10233" max="10233" width="11" customWidth="1"/>
    <col min="10234" max="10234" width="2.875" customWidth="1"/>
    <col min="10235" max="10235" width="77.625" customWidth="1"/>
    <col min="10236" max="10236" width="20.875" customWidth="1"/>
    <col min="10486" max="10486" width="2.875" customWidth="1"/>
    <col min="10487" max="10487" width="8.125" customWidth="1"/>
    <col min="10488" max="10488" width="8.75" customWidth="1"/>
    <col min="10489" max="10489" width="11" customWidth="1"/>
    <col min="10490" max="10490" width="2.875" customWidth="1"/>
    <col min="10491" max="10491" width="77.625" customWidth="1"/>
    <col min="10492" max="10492" width="20.875" customWidth="1"/>
    <col min="10742" max="10742" width="2.875" customWidth="1"/>
    <col min="10743" max="10743" width="8.125" customWidth="1"/>
    <col min="10744" max="10744" width="8.75" customWidth="1"/>
    <col min="10745" max="10745" width="11" customWidth="1"/>
    <col min="10746" max="10746" width="2.875" customWidth="1"/>
    <col min="10747" max="10747" width="77.625" customWidth="1"/>
    <col min="10748" max="10748" width="20.875" customWidth="1"/>
    <col min="10998" max="10998" width="2.875" customWidth="1"/>
    <col min="10999" max="10999" width="8.125" customWidth="1"/>
    <col min="11000" max="11000" width="8.75" customWidth="1"/>
    <col min="11001" max="11001" width="11" customWidth="1"/>
    <col min="11002" max="11002" width="2.875" customWidth="1"/>
    <col min="11003" max="11003" width="77.625" customWidth="1"/>
    <col min="11004" max="11004" width="20.875" customWidth="1"/>
    <col min="11254" max="11254" width="2.875" customWidth="1"/>
    <col min="11255" max="11255" width="8.125" customWidth="1"/>
    <col min="11256" max="11256" width="8.75" customWidth="1"/>
    <col min="11257" max="11257" width="11" customWidth="1"/>
    <col min="11258" max="11258" width="2.875" customWidth="1"/>
    <col min="11259" max="11259" width="77.625" customWidth="1"/>
    <col min="11260" max="11260" width="20.875" customWidth="1"/>
    <col min="11510" max="11510" width="2.875" customWidth="1"/>
    <col min="11511" max="11511" width="8.125" customWidth="1"/>
    <col min="11512" max="11512" width="8.75" customWidth="1"/>
    <col min="11513" max="11513" width="11" customWidth="1"/>
    <col min="11514" max="11514" width="2.875" customWidth="1"/>
    <col min="11515" max="11515" width="77.625" customWidth="1"/>
    <col min="11516" max="11516" width="20.875" customWidth="1"/>
    <col min="11766" max="11766" width="2.875" customWidth="1"/>
    <col min="11767" max="11767" width="8.125" customWidth="1"/>
    <col min="11768" max="11768" width="8.75" customWidth="1"/>
    <col min="11769" max="11769" width="11" customWidth="1"/>
    <col min="11770" max="11770" width="2.875" customWidth="1"/>
    <col min="11771" max="11771" width="77.625" customWidth="1"/>
    <col min="11772" max="11772" width="20.875" customWidth="1"/>
    <col min="12022" max="12022" width="2.875" customWidth="1"/>
    <col min="12023" max="12023" width="8.125" customWidth="1"/>
    <col min="12024" max="12024" width="8.75" customWidth="1"/>
    <col min="12025" max="12025" width="11" customWidth="1"/>
    <col min="12026" max="12026" width="2.875" customWidth="1"/>
    <col min="12027" max="12027" width="77.625" customWidth="1"/>
    <col min="12028" max="12028" width="20.875" customWidth="1"/>
    <col min="12278" max="12278" width="2.875" customWidth="1"/>
    <col min="12279" max="12279" width="8.125" customWidth="1"/>
    <col min="12280" max="12280" width="8.75" customWidth="1"/>
    <col min="12281" max="12281" width="11" customWidth="1"/>
    <col min="12282" max="12282" width="2.875" customWidth="1"/>
    <col min="12283" max="12283" width="77.625" customWidth="1"/>
    <col min="12284" max="12284" width="20.875" customWidth="1"/>
    <col min="12534" max="12534" width="2.875" customWidth="1"/>
    <col min="12535" max="12535" width="8.125" customWidth="1"/>
    <col min="12536" max="12536" width="8.75" customWidth="1"/>
    <col min="12537" max="12537" width="11" customWidth="1"/>
    <col min="12538" max="12538" width="2.875" customWidth="1"/>
    <col min="12539" max="12539" width="77.625" customWidth="1"/>
    <col min="12540" max="12540" width="20.875" customWidth="1"/>
    <col min="12790" max="12790" width="2.875" customWidth="1"/>
    <col min="12791" max="12791" width="8.125" customWidth="1"/>
    <col min="12792" max="12792" width="8.75" customWidth="1"/>
    <col min="12793" max="12793" width="11" customWidth="1"/>
    <col min="12794" max="12794" width="2.875" customWidth="1"/>
    <col min="12795" max="12795" width="77.625" customWidth="1"/>
    <col min="12796" max="12796" width="20.875" customWidth="1"/>
    <col min="13046" max="13046" width="2.875" customWidth="1"/>
    <col min="13047" max="13047" width="8.125" customWidth="1"/>
    <col min="13048" max="13048" width="8.75" customWidth="1"/>
    <col min="13049" max="13049" width="11" customWidth="1"/>
    <col min="13050" max="13050" width="2.875" customWidth="1"/>
    <col min="13051" max="13051" width="77.625" customWidth="1"/>
    <col min="13052" max="13052" width="20.875" customWidth="1"/>
    <col min="13302" max="13302" width="2.875" customWidth="1"/>
    <col min="13303" max="13303" width="8.125" customWidth="1"/>
    <col min="13304" max="13304" width="8.75" customWidth="1"/>
    <col min="13305" max="13305" width="11" customWidth="1"/>
    <col min="13306" max="13306" width="2.875" customWidth="1"/>
    <col min="13307" max="13307" width="77.625" customWidth="1"/>
    <col min="13308" max="13308" width="20.875" customWidth="1"/>
    <col min="13558" max="13558" width="2.875" customWidth="1"/>
    <col min="13559" max="13559" width="8.125" customWidth="1"/>
    <col min="13560" max="13560" width="8.75" customWidth="1"/>
    <col min="13561" max="13561" width="11" customWidth="1"/>
    <col min="13562" max="13562" width="2.875" customWidth="1"/>
    <col min="13563" max="13563" width="77.625" customWidth="1"/>
    <col min="13564" max="13564" width="20.875" customWidth="1"/>
    <col min="13814" max="13814" width="2.875" customWidth="1"/>
    <col min="13815" max="13815" width="8.125" customWidth="1"/>
    <col min="13816" max="13816" width="8.75" customWidth="1"/>
    <col min="13817" max="13817" width="11" customWidth="1"/>
    <col min="13818" max="13818" width="2.875" customWidth="1"/>
    <col min="13819" max="13819" width="77.625" customWidth="1"/>
    <col min="13820" max="13820" width="20.875" customWidth="1"/>
    <col min="14070" max="14070" width="2.875" customWidth="1"/>
    <col min="14071" max="14071" width="8.125" customWidth="1"/>
    <col min="14072" max="14072" width="8.75" customWidth="1"/>
    <col min="14073" max="14073" width="11" customWidth="1"/>
    <col min="14074" max="14074" width="2.875" customWidth="1"/>
    <col min="14075" max="14075" width="77.625" customWidth="1"/>
    <col min="14076" max="14076" width="20.875" customWidth="1"/>
    <col min="14326" max="14326" width="2.875" customWidth="1"/>
    <col min="14327" max="14327" width="8.125" customWidth="1"/>
    <col min="14328" max="14328" width="8.75" customWidth="1"/>
    <col min="14329" max="14329" width="11" customWidth="1"/>
    <col min="14330" max="14330" width="2.875" customWidth="1"/>
    <col min="14331" max="14331" width="77.625" customWidth="1"/>
    <col min="14332" max="14332" width="20.875" customWidth="1"/>
    <col min="14582" max="14582" width="2.875" customWidth="1"/>
    <col min="14583" max="14583" width="8.125" customWidth="1"/>
    <col min="14584" max="14584" width="8.75" customWidth="1"/>
    <col min="14585" max="14585" width="11" customWidth="1"/>
    <col min="14586" max="14586" width="2.875" customWidth="1"/>
    <col min="14587" max="14587" width="77.625" customWidth="1"/>
    <col min="14588" max="14588" width="20.875" customWidth="1"/>
    <col min="14838" max="14838" width="2.875" customWidth="1"/>
    <col min="14839" max="14839" width="8.125" customWidth="1"/>
    <col min="14840" max="14840" width="8.75" customWidth="1"/>
    <col min="14841" max="14841" width="11" customWidth="1"/>
    <col min="14842" max="14842" width="2.875" customWidth="1"/>
    <col min="14843" max="14843" width="77.625" customWidth="1"/>
    <col min="14844" max="14844" width="20.875" customWidth="1"/>
    <col min="15094" max="15094" width="2.875" customWidth="1"/>
    <col min="15095" max="15095" width="8.125" customWidth="1"/>
    <col min="15096" max="15096" width="8.75" customWidth="1"/>
    <col min="15097" max="15097" width="11" customWidth="1"/>
    <col min="15098" max="15098" width="2.875" customWidth="1"/>
    <col min="15099" max="15099" width="77.625" customWidth="1"/>
    <col min="15100" max="15100" width="20.875" customWidth="1"/>
    <col min="15350" max="15350" width="2.875" customWidth="1"/>
    <col min="15351" max="15351" width="8.125" customWidth="1"/>
    <col min="15352" max="15352" width="8.75" customWidth="1"/>
    <col min="15353" max="15353" width="11" customWidth="1"/>
    <col min="15354" max="15354" width="2.875" customWidth="1"/>
    <col min="15355" max="15355" width="77.625" customWidth="1"/>
    <col min="15356" max="15356" width="20.875" customWidth="1"/>
    <col min="15606" max="15606" width="2.875" customWidth="1"/>
    <col min="15607" max="15607" width="8.125" customWidth="1"/>
    <col min="15608" max="15608" width="8.75" customWidth="1"/>
    <col min="15609" max="15609" width="11" customWidth="1"/>
    <col min="15610" max="15610" width="2.875" customWidth="1"/>
    <col min="15611" max="15611" width="77.625" customWidth="1"/>
    <col min="15612" max="15612" width="20.875" customWidth="1"/>
    <col min="15862" max="15862" width="2.875" customWidth="1"/>
    <col min="15863" max="15863" width="8.125" customWidth="1"/>
    <col min="15864" max="15864" width="8.75" customWidth="1"/>
    <col min="15865" max="15865" width="11" customWidth="1"/>
    <col min="15866" max="15866" width="2.875" customWidth="1"/>
    <col min="15867" max="15867" width="77.625" customWidth="1"/>
    <col min="15868" max="15868" width="20.875" customWidth="1"/>
    <col min="16118" max="16118" width="2.875" customWidth="1"/>
    <col min="16119" max="16119" width="8.125" customWidth="1"/>
    <col min="16120" max="16120" width="8.75" customWidth="1"/>
    <col min="16121" max="16121" width="11" customWidth="1"/>
    <col min="16122" max="16122" width="2.875" customWidth="1"/>
    <col min="16123" max="16123" width="77.625" customWidth="1"/>
    <col min="16124" max="16124" width="20.875" customWidth="1"/>
  </cols>
  <sheetData>
    <row r="1" spans="1:30" ht="22.5" customHeight="1" x14ac:dyDescent="0.4">
      <c r="A1" s="46" t="s">
        <v>93</v>
      </c>
      <c r="B1" s="47"/>
      <c r="C1" s="48"/>
      <c r="D1" s="48"/>
      <c r="E1" s="48"/>
      <c r="F1" s="47"/>
      <c r="G1" s="47"/>
      <c r="H1" s="47"/>
      <c r="I1" s="47"/>
      <c r="J1" s="47"/>
      <c r="K1" s="663"/>
      <c r="M1" s="663"/>
      <c r="N1" s="47"/>
      <c r="O1" s="47"/>
      <c r="P1" s="47"/>
      <c r="Q1" s="47"/>
      <c r="R1" s="47"/>
      <c r="S1" s="47"/>
      <c r="T1" s="47"/>
      <c r="U1" s="47"/>
      <c r="V1" s="47"/>
      <c r="W1" s="47"/>
      <c r="X1" s="47"/>
      <c r="Y1" s="47"/>
      <c r="Z1" s="47"/>
      <c r="AA1" s="47"/>
      <c r="AB1" s="47"/>
      <c r="AC1" s="47"/>
      <c r="AD1" s="47"/>
    </row>
    <row r="2" spans="1:30" ht="22.5" customHeight="1" x14ac:dyDescent="0.4">
      <c r="A2" s="46" t="s">
        <v>471</v>
      </c>
      <c r="B2" s="47"/>
      <c r="C2" s="48"/>
      <c r="D2" s="48"/>
      <c r="E2" s="48"/>
      <c r="F2" s="47"/>
      <c r="G2" s="47"/>
      <c r="H2" s="47"/>
      <c r="I2" s="47"/>
      <c r="J2" s="47"/>
      <c r="K2" s="663"/>
      <c r="M2" s="663"/>
      <c r="N2" s="47"/>
      <c r="O2" s="47"/>
      <c r="P2" s="47"/>
      <c r="Q2" s="47"/>
      <c r="R2" s="47"/>
      <c r="S2" s="47"/>
      <c r="T2" s="47"/>
      <c r="U2" s="47"/>
      <c r="V2" s="47"/>
      <c r="W2" s="47"/>
      <c r="X2" s="47"/>
      <c r="Y2" s="47"/>
      <c r="Z2" s="47"/>
      <c r="AA2" s="47"/>
      <c r="AB2" s="47"/>
      <c r="AC2" s="47"/>
      <c r="AD2" s="47"/>
    </row>
    <row r="3" spans="1:30" ht="22.5" customHeight="1" x14ac:dyDescent="0.4">
      <c r="A3" s="46" t="s">
        <v>472</v>
      </c>
      <c r="B3" s="47"/>
      <c r="C3" s="48"/>
      <c r="D3" s="48"/>
      <c r="E3" s="48"/>
      <c r="F3" s="47"/>
      <c r="G3" s="47"/>
      <c r="H3" s="47"/>
      <c r="I3" s="47"/>
      <c r="J3" s="47"/>
      <c r="K3" s="663"/>
      <c r="M3" s="663"/>
      <c r="N3" s="47"/>
      <c r="O3" s="47"/>
      <c r="P3" s="47"/>
      <c r="Q3" s="47"/>
      <c r="R3" s="47"/>
      <c r="S3" s="47"/>
      <c r="T3" s="47"/>
      <c r="U3" s="47"/>
      <c r="V3" s="47"/>
      <c r="W3" s="47"/>
      <c r="X3" s="47"/>
      <c r="Y3" s="47"/>
      <c r="Z3" s="47"/>
      <c r="AA3" s="47"/>
      <c r="AB3" s="47"/>
      <c r="AC3" s="47"/>
      <c r="AD3" s="47"/>
    </row>
    <row r="4" spans="1:30" s="50" customFormat="1" ht="8.25" customHeight="1" x14ac:dyDescent="0.2">
      <c r="A4" s="49"/>
      <c r="B4" s="49"/>
      <c r="C4" s="49"/>
      <c r="D4" s="49"/>
      <c r="E4" s="49"/>
      <c r="F4" s="49"/>
      <c r="K4" s="664"/>
      <c r="L4" s="665"/>
      <c r="M4" s="664"/>
    </row>
    <row r="5" spans="1:30" s="55" customFormat="1" ht="8.25" customHeight="1" thickBot="1" x14ac:dyDescent="0.25">
      <c r="A5" s="54"/>
      <c r="B5" s="54"/>
      <c r="C5" s="54"/>
      <c r="D5" s="54"/>
      <c r="E5" s="54"/>
      <c r="F5" s="54"/>
      <c r="K5" s="666"/>
      <c r="L5" s="665"/>
      <c r="M5" s="666"/>
    </row>
    <row r="6" spans="1:30" s="55" customFormat="1" ht="48" customHeight="1" thickBot="1" x14ac:dyDescent="0.25">
      <c r="A6" s="54"/>
      <c r="B6" s="667" t="s">
        <v>99</v>
      </c>
      <c r="C6" s="667"/>
      <c r="D6" s="667"/>
      <c r="E6" s="667"/>
      <c r="F6" s="667"/>
      <c r="G6" s="668" t="s">
        <v>473</v>
      </c>
      <c r="H6" s="668"/>
      <c r="I6" s="668" t="s">
        <v>474</v>
      </c>
      <c r="K6" s="666"/>
      <c r="L6" s="665"/>
      <c r="M6" s="666"/>
    </row>
    <row r="7" spans="1:30" s="55" customFormat="1" ht="20.25" x14ac:dyDescent="0.2">
      <c r="A7" s="54"/>
      <c r="B7" s="54"/>
      <c r="C7" s="58" t="s">
        <v>100</v>
      </c>
      <c r="D7" s="58"/>
      <c r="E7" s="58"/>
      <c r="F7" s="54"/>
      <c r="G7" s="202">
        <v>768013</v>
      </c>
      <c r="H7" s="202"/>
      <c r="I7" s="202">
        <v>795100</v>
      </c>
      <c r="K7" s="666"/>
      <c r="L7" s="665"/>
      <c r="M7" s="666"/>
    </row>
    <row r="8" spans="1:30" s="55" customFormat="1" ht="20.25" x14ac:dyDescent="0.2">
      <c r="A8" s="54"/>
      <c r="B8" s="54"/>
      <c r="C8" s="58" t="s">
        <v>149</v>
      </c>
      <c r="D8" s="58"/>
      <c r="E8" s="58"/>
      <c r="F8" s="54"/>
      <c r="G8" s="193">
        <v>92000</v>
      </c>
      <c r="H8" s="193"/>
      <c r="I8" s="193">
        <v>88160</v>
      </c>
      <c r="K8" s="666"/>
      <c r="L8" s="665"/>
      <c r="M8" s="666"/>
    </row>
    <row r="9" spans="1:30" s="55" customFormat="1" ht="20.25" x14ac:dyDescent="0.2">
      <c r="A9" s="54"/>
      <c r="B9" s="54"/>
      <c r="C9" s="58" t="s">
        <v>178</v>
      </c>
      <c r="D9" s="58"/>
      <c r="E9" s="58"/>
      <c r="F9" s="54"/>
      <c r="G9" s="193">
        <v>42167</v>
      </c>
      <c r="H9" s="193"/>
      <c r="I9" s="193">
        <v>32100</v>
      </c>
      <c r="K9" s="666"/>
      <c r="L9" s="665"/>
      <c r="M9" s="666"/>
    </row>
    <row r="10" spans="1:30" s="55" customFormat="1" ht="20.25" x14ac:dyDescent="0.2">
      <c r="A10" s="54"/>
      <c r="B10" s="54"/>
      <c r="C10" s="58" t="s">
        <v>101</v>
      </c>
      <c r="D10" s="58"/>
      <c r="E10" s="58"/>
      <c r="F10" s="54"/>
      <c r="G10" s="193">
        <v>0</v>
      </c>
      <c r="H10" s="193"/>
      <c r="I10" s="193"/>
      <c r="K10" s="666"/>
      <c r="L10" s="665"/>
      <c r="M10" s="666"/>
    </row>
    <row r="11" spans="1:30" s="55" customFormat="1" ht="20.25" x14ac:dyDescent="0.2">
      <c r="A11" s="54"/>
      <c r="B11" s="54"/>
      <c r="D11" s="58" t="s">
        <v>138</v>
      </c>
      <c r="E11" s="58"/>
      <c r="F11" s="54"/>
      <c r="G11" s="193">
        <f>148159+47500+3687</f>
        <v>199346</v>
      </c>
      <c r="H11" s="193"/>
      <c r="I11" s="193">
        <v>204910</v>
      </c>
      <c r="J11" s="386"/>
      <c r="K11" s="666"/>
      <c r="L11" s="669"/>
      <c r="M11" s="666"/>
    </row>
    <row r="12" spans="1:30" s="55" customFormat="1" ht="20.25" x14ac:dyDescent="0.2">
      <c r="A12" s="54"/>
      <c r="B12" s="54"/>
      <c r="D12" s="58" t="s">
        <v>158</v>
      </c>
      <c r="E12" s="58"/>
      <c r="F12" s="54"/>
      <c r="G12" s="193">
        <v>18000</v>
      </c>
      <c r="H12" s="193"/>
      <c r="I12" s="193">
        <v>18000</v>
      </c>
      <c r="J12" s="322"/>
      <c r="K12" s="666"/>
      <c r="L12" s="665"/>
      <c r="M12" s="666"/>
    </row>
    <row r="13" spans="1:30" s="55" customFormat="1" ht="20.25" x14ac:dyDescent="0.2">
      <c r="A13" s="54"/>
      <c r="B13" s="54"/>
      <c r="C13" s="58"/>
      <c r="D13" s="58" t="s">
        <v>399</v>
      </c>
      <c r="E13" s="58"/>
      <c r="F13" s="54"/>
      <c r="G13" s="193">
        <v>30439</v>
      </c>
      <c r="H13" s="193"/>
      <c r="I13" s="193">
        <v>265600</v>
      </c>
      <c r="J13" s="322"/>
      <c r="K13" s="666"/>
      <c r="L13" s="665"/>
      <c r="M13" s="666"/>
    </row>
    <row r="14" spans="1:30" s="55" customFormat="1" ht="20.25" x14ac:dyDescent="0.2">
      <c r="A14" s="54"/>
      <c r="B14" s="54"/>
      <c r="C14" s="58" t="s">
        <v>374</v>
      </c>
      <c r="D14" s="58"/>
      <c r="E14" s="58"/>
      <c r="F14" s="54"/>
      <c r="G14" s="193">
        <v>20000</v>
      </c>
      <c r="H14" s="193"/>
      <c r="I14" s="193">
        <v>17600</v>
      </c>
      <c r="J14" s="322"/>
      <c r="K14" s="666"/>
      <c r="L14" s="665"/>
      <c r="M14" s="666"/>
    </row>
    <row r="15" spans="1:30" s="55" customFormat="1" ht="20.25" x14ac:dyDescent="0.2">
      <c r="A15" s="54"/>
      <c r="B15" s="54"/>
      <c r="C15" s="58" t="s">
        <v>109</v>
      </c>
      <c r="D15" s="58"/>
      <c r="E15" s="58"/>
      <c r="F15" s="54"/>
      <c r="G15" s="193">
        <v>684</v>
      </c>
      <c r="H15" s="193"/>
      <c r="I15" s="193">
        <v>420</v>
      </c>
      <c r="J15" s="322"/>
      <c r="K15" s="666"/>
      <c r="L15" s="665"/>
      <c r="M15" s="666"/>
    </row>
    <row r="16" spans="1:30" s="55" customFormat="1" ht="20.25" x14ac:dyDescent="0.2">
      <c r="A16" s="54"/>
      <c r="B16" s="54"/>
      <c r="C16" s="58" t="s">
        <v>236</v>
      </c>
      <c r="D16" s="58"/>
      <c r="E16" s="58"/>
      <c r="F16" s="54"/>
      <c r="G16" s="193">
        <v>1200</v>
      </c>
      <c r="H16" s="193"/>
      <c r="I16" s="193">
        <v>1000</v>
      </c>
      <c r="J16" s="322"/>
      <c r="K16" s="666"/>
      <c r="L16" s="665"/>
      <c r="M16" s="666"/>
    </row>
    <row r="17" spans="1:13" s="55" customFormat="1" ht="20.25" x14ac:dyDescent="0.2">
      <c r="A17" s="54"/>
      <c r="B17" s="54"/>
      <c r="C17" s="677" t="s">
        <v>318</v>
      </c>
      <c r="D17" s="677"/>
      <c r="E17" s="677"/>
      <c r="F17" s="678"/>
      <c r="G17" s="193">
        <v>-3000</v>
      </c>
      <c r="H17" s="193"/>
      <c r="I17" s="661">
        <v>-48000</v>
      </c>
      <c r="J17" s="322"/>
      <c r="K17" s="666"/>
      <c r="L17" s="665"/>
      <c r="M17" s="666"/>
    </row>
    <row r="18" spans="1:13" s="55" customFormat="1" ht="20.25" x14ac:dyDescent="0.2">
      <c r="A18" s="54"/>
      <c r="B18" s="54"/>
      <c r="C18" s="58" t="s">
        <v>411</v>
      </c>
      <c r="D18" s="58"/>
      <c r="E18" s="58"/>
      <c r="F18" s="54"/>
      <c r="G18" s="193">
        <v>282538</v>
      </c>
      <c r="H18" s="193"/>
      <c r="I18" s="193">
        <v>159000</v>
      </c>
      <c r="J18" s="318"/>
      <c r="K18" s="666"/>
      <c r="L18" s="665"/>
      <c r="M18" s="666"/>
    </row>
    <row r="19" spans="1:13" s="55" customFormat="1" ht="20.25" x14ac:dyDescent="0.2">
      <c r="A19" s="54"/>
      <c r="B19" s="54"/>
      <c r="C19" s="58" t="s">
        <v>108</v>
      </c>
      <c r="D19" s="591"/>
      <c r="E19" s="591"/>
      <c r="F19" s="591"/>
      <c r="G19" s="193">
        <v>52740</v>
      </c>
      <c r="H19" s="193"/>
      <c r="I19" s="193">
        <v>52740</v>
      </c>
      <c r="J19" s="318"/>
      <c r="K19" s="666"/>
      <c r="L19" s="665"/>
      <c r="M19" s="666"/>
    </row>
    <row r="20" spans="1:13" s="55" customFormat="1" ht="20.25" x14ac:dyDescent="0.2">
      <c r="A20" s="54"/>
      <c r="B20" s="54"/>
      <c r="C20" s="58" t="s">
        <v>414</v>
      </c>
      <c r="D20" s="591"/>
      <c r="E20" s="591"/>
      <c r="F20" s="591"/>
      <c r="G20" s="193">
        <v>10250</v>
      </c>
      <c r="H20" s="193"/>
      <c r="I20" s="193">
        <v>31710</v>
      </c>
      <c r="J20" s="318"/>
      <c r="K20" s="666"/>
      <c r="L20" s="665"/>
      <c r="M20" s="666"/>
    </row>
    <row r="21" spans="1:13" s="55" customFormat="1" ht="20.25" x14ac:dyDescent="0.2">
      <c r="A21" s="54"/>
      <c r="B21" s="54"/>
      <c r="C21" s="58" t="s">
        <v>101</v>
      </c>
      <c r="D21" s="591"/>
      <c r="E21" s="591"/>
      <c r="F21" s="591"/>
      <c r="G21" s="193">
        <v>20000</v>
      </c>
      <c r="H21" s="193"/>
      <c r="I21" s="193">
        <v>20000</v>
      </c>
      <c r="J21" s="318"/>
      <c r="K21" s="666"/>
      <c r="L21" s="665"/>
      <c r="M21" s="666"/>
    </row>
    <row r="22" spans="1:13" s="55" customFormat="1" ht="20.25" x14ac:dyDescent="0.2">
      <c r="A22" s="54"/>
      <c r="B22" s="54"/>
      <c r="C22" s="58" t="s">
        <v>317</v>
      </c>
      <c r="D22" s="591"/>
      <c r="E22" s="591"/>
      <c r="F22" s="591"/>
      <c r="G22" s="193">
        <v>52000</v>
      </c>
      <c r="H22" s="193"/>
      <c r="I22" s="193">
        <v>62400</v>
      </c>
      <c r="J22" s="318"/>
      <c r="K22" s="666"/>
      <c r="L22" s="665"/>
      <c r="M22" s="666"/>
    </row>
    <row r="23" spans="1:13" s="55" customFormat="1" ht="20.25" x14ac:dyDescent="0.2">
      <c r="A23" s="54"/>
      <c r="B23" s="54"/>
      <c r="C23" s="58" t="s">
        <v>319</v>
      </c>
      <c r="D23" s="591"/>
      <c r="E23" s="591"/>
      <c r="F23" s="591"/>
      <c r="G23" s="193">
        <v>18537</v>
      </c>
      <c r="H23" s="193"/>
      <c r="I23" s="193">
        <v>18600</v>
      </c>
      <c r="J23" s="318"/>
      <c r="K23" s="666"/>
      <c r="L23" s="665"/>
      <c r="M23" s="666"/>
    </row>
    <row r="24" spans="1:13" s="55" customFormat="1" ht="20.25" x14ac:dyDescent="0.2">
      <c r="A24" s="54"/>
      <c r="B24" s="54"/>
      <c r="C24" s="58"/>
      <c r="D24" s="54" t="s">
        <v>104</v>
      </c>
      <c r="E24" s="58"/>
      <c r="F24" s="54"/>
      <c r="G24" s="201">
        <f>SUM(G7:G23)</f>
        <v>1604914</v>
      </c>
      <c r="H24" s="201"/>
      <c r="I24" s="201">
        <f>SUM(I7:I23)</f>
        <v>1719340</v>
      </c>
      <c r="K24" s="666"/>
      <c r="L24" s="665"/>
      <c r="M24" s="666"/>
    </row>
    <row r="25" spans="1:13" s="55" customFormat="1" ht="21" thickBot="1" x14ac:dyDescent="0.25">
      <c r="A25" s="54"/>
      <c r="B25" s="54"/>
      <c r="C25" s="58"/>
      <c r="D25" s="54"/>
      <c r="E25" s="58"/>
      <c r="F25" s="54"/>
      <c r="G25" s="193"/>
      <c r="H25" s="193"/>
      <c r="I25" s="193"/>
      <c r="K25" s="666"/>
      <c r="L25" s="665"/>
      <c r="M25" s="666"/>
    </row>
    <row r="26" spans="1:13" s="55" customFormat="1" ht="54.75" thickBot="1" x14ac:dyDescent="0.25">
      <c r="A26" s="54"/>
      <c r="B26" s="667" t="s">
        <v>110</v>
      </c>
      <c r="C26" s="667"/>
      <c r="D26" s="667"/>
      <c r="E26" s="667"/>
      <c r="F26" s="667"/>
      <c r="G26" s="668" t="s">
        <v>473</v>
      </c>
      <c r="H26" s="668"/>
      <c r="I26" s="668" t="s">
        <v>474</v>
      </c>
      <c r="K26" s="666"/>
      <c r="L26" s="665"/>
      <c r="M26" s="666"/>
    </row>
    <row r="27" spans="1:13" s="55" customFormat="1" ht="20.25" x14ac:dyDescent="0.2">
      <c r="A27" s="54"/>
      <c r="B27" s="54"/>
      <c r="C27" s="58" t="s">
        <v>111</v>
      </c>
      <c r="D27" s="58"/>
      <c r="E27" s="58"/>
      <c r="F27" s="58"/>
      <c r="G27" s="193">
        <v>1121855</v>
      </c>
      <c r="H27" s="193"/>
      <c r="I27" s="193">
        <v>994800</v>
      </c>
      <c r="K27" s="666"/>
      <c r="L27" s="665"/>
      <c r="M27" s="666"/>
    </row>
    <row r="28" spans="1:13" s="55" customFormat="1" ht="20.25" x14ac:dyDescent="0.2">
      <c r="A28" s="54"/>
      <c r="B28" s="54"/>
      <c r="C28" s="58" t="s">
        <v>112</v>
      </c>
      <c r="D28" s="58"/>
      <c r="E28" s="58"/>
      <c r="F28" s="58"/>
      <c r="G28" s="193">
        <v>256895</v>
      </c>
      <c r="H28" s="193"/>
      <c r="I28" s="193">
        <f>199118+20000</f>
        <v>219118</v>
      </c>
      <c r="K28" s="666"/>
      <c r="L28" s="665"/>
      <c r="M28" s="666"/>
    </row>
    <row r="29" spans="1:13" s="55" customFormat="1" ht="20.25" x14ac:dyDescent="0.2">
      <c r="A29" s="54"/>
      <c r="B29" s="54"/>
      <c r="C29" s="58" t="s">
        <v>113</v>
      </c>
      <c r="D29" s="58"/>
      <c r="E29" s="58"/>
      <c r="F29" s="58"/>
      <c r="G29" s="193">
        <v>1800</v>
      </c>
      <c r="H29" s="193"/>
      <c r="I29" s="193">
        <v>1800</v>
      </c>
      <c r="K29" s="666"/>
      <c r="L29" s="665"/>
      <c r="M29" s="666"/>
    </row>
    <row r="30" spans="1:13" s="55" customFormat="1" ht="20.25" x14ac:dyDescent="0.2">
      <c r="A30" s="54"/>
      <c r="B30" s="54"/>
      <c r="C30" s="58" t="s">
        <v>103</v>
      </c>
      <c r="D30" s="58"/>
      <c r="E30" s="58"/>
      <c r="F30" s="58"/>
      <c r="G30" s="193">
        <v>52740</v>
      </c>
      <c r="H30" s="193"/>
      <c r="I30" s="193">
        <v>52740</v>
      </c>
      <c r="K30" s="666"/>
      <c r="L30" s="665"/>
      <c r="M30" s="666"/>
    </row>
    <row r="31" spans="1:13" s="55" customFormat="1" ht="20.25" x14ac:dyDescent="0.2">
      <c r="A31" s="54"/>
      <c r="B31" s="54"/>
      <c r="C31" s="58" t="s">
        <v>114</v>
      </c>
      <c r="D31" s="58"/>
      <c r="E31" s="58"/>
      <c r="F31" s="58"/>
      <c r="G31" s="193">
        <v>22940</v>
      </c>
      <c r="H31" s="193"/>
      <c r="I31" s="193">
        <v>21250</v>
      </c>
      <c r="K31" s="666"/>
      <c r="L31" s="665"/>
      <c r="M31" s="666"/>
    </row>
    <row r="32" spans="1:13" s="55" customFormat="1" ht="20.25" x14ac:dyDescent="0.2">
      <c r="A32" s="54"/>
      <c r="B32" s="54"/>
      <c r="C32" s="58" t="s">
        <v>115</v>
      </c>
      <c r="D32" s="58"/>
      <c r="E32" s="58"/>
      <c r="F32" s="58"/>
      <c r="G32" s="193">
        <v>2385</v>
      </c>
      <c r="H32" s="193"/>
      <c r="I32" s="193">
        <v>2520</v>
      </c>
      <c r="K32" s="666"/>
      <c r="L32" s="665"/>
      <c r="M32" s="666"/>
    </row>
    <row r="33" spans="1:14" s="55" customFormat="1" ht="20.25" x14ac:dyDescent="0.2">
      <c r="A33" s="54"/>
      <c r="B33" s="54"/>
      <c r="C33" s="58" t="s">
        <v>116</v>
      </c>
      <c r="D33" s="58"/>
      <c r="E33" s="58"/>
      <c r="F33" s="58"/>
      <c r="G33" s="193">
        <v>4620</v>
      </c>
      <c r="H33" s="193"/>
      <c r="I33" s="193">
        <v>3720</v>
      </c>
      <c r="K33" s="666"/>
      <c r="L33" s="665"/>
      <c r="M33" s="666"/>
    </row>
    <row r="34" spans="1:14" s="55" customFormat="1" ht="20.25" x14ac:dyDescent="0.2">
      <c r="A34" s="54"/>
      <c r="B34" s="54"/>
      <c r="C34" s="58" t="s">
        <v>117</v>
      </c>
      <c r="D34" s="58"/>
      <c r="E34" s="58"/>
      <c r="F34" s="58"/>
      <c r="G34" s="193">
        <v>13333</v>
      </c>
      <c r="H34" s="193"/>
      <c r="I34" s="193">
        <v>11230</v>
      </c>
      <c r="K34" s="666"/>
      <c r="L34" s="665"/>
      <c r="M34" s="666"/>
    </row>
    <row r="35" spans="1:14" s="55" customFormat="1" ht="20.25" x14ac:dyDescent="0.2">
      <c r="A35" s="54"/>
      <c r="B35" s="54"/>
      <c r="C35" s="58" t="s">
        <v>118</v>
      </c>
      <c r="D35" s="58"/>
      <c r="E35" s="58"/>
      <c r="F35" s="58"/>
      <c r="G35" s="193">
        <f>25674+15000</f>
        <v>40674</v>
      </c>
      <c r="H35" s="193"/>
      <c r="I35" s="193">
        <v>39910</v>
      </c>
      <c r="K35" s="666"/>
      <c r="L35" s="665"/>
      <c r="M35" s="666"/>
    </row>
    <row r="36" spans="1:14" s="55" customFormat="1" ht="20.25" x14ac:dyDescent="0.2">
      <c r="A36" s="54"/>
      <c r="B36" s="54"/>
      <c r="C36" s="58" t="s">
        <v>119</v>
      </c>
      <c r="D36" s="58"/>
      <c r="E36" s="58"/>
      <c r="F36" s="58"/>
      <c r="G36" s="193">
        <v>2918</v>
      </c>
      <c r="H36" s="193"/>
      <c r="I36" s="193">
        <v>3920</v>
      </c>
      <c r="K36" s="666"/>
      <c r="L36" s="665"/>
      <c r="M36" s="666"/>
    </row>
    <row r="37" spans="1:14" s="55" customFormat="1" ht="20.25" x14ac:dyDescent="0.2">
      <c r="A37" s="54"/>
      <c r="B37" s="54"/>
      <c r="C37" s="58" t="s">
        <v>120</v>
      </c>
      <c r="D37" s="58"/>
      <c r="E37" s="58"/>
      <c r="F37" s="58"/>
      <c r="G37" s="193">
        <v>1300</v>
      </c>
      <c r="H37" s="193"/>
      <c r="I37" s="193">
        <f>940+360</f>
        <v>1300</v>
      </c>
      <c r="K37" s="666"/>
      <c r="L37" s="665"/>
      <c r="M37" s="666"/>
    </row>
    <row r="38" spans="1:14" s="55" customFormat="1" ht="20.25" x14ac:dyDescent="0.2">
      <c r="A38" s="54"/>
      <c r="B38" s="54"/>
      <c r="C38" s="58" t="s">
        <v>165</v>
      </c>
      <c r="D38" s="58"/>
      <c r="E38" s="58"/>
      <c r="F38" s="58"/>
      <c r="G38" s="193">
        <v>15125</v>
      </c>
      <c r="H38" s="193"/>
      <c r="I38" s="193">
        <v>16375</v>
      </c>
      <c r="K38" s="666"/>
      <c r="L38" s="665"/>
      <c r="M38" s="666"/>
    </row>
    <row r="39" spans="1:14" s="55" customFormat="1" ht="20.25" x14ac:dyDescent="0.2">
      <c r="A39" s="54"/>
      <c r="B39" s="54"/>
      <c r="C39" s="789" t="s">
        <v>322</v>
      </c>
      <c r="D39" s="789"/>
      <c r="E39" s="789"/>
      <c r="F39" s="789"/>
      <c r="G39" s="193">
        <v>0</v>
      </c>
      <c r="H39" s="193"/>
      <c r="I39" s="193"/>
      <c r="J39" s="578"/>
      <c r="K39" s="666"/>
      <c r="L39" s="665"/>
      <c r="M39" s="666"/>
    </row>
    <row r="40" spans="1:14" s="55" customFormat="1" ht="20.25" x14ac:dyDescent="0.2">
      <c r="A40" s="54"/>
      <c r="B40" s="54"/>
      <c r="C40" s="58" t="s">
        <v>121</v>
      </c>
      <c r="D40" s="58"/>
      <c r="E40" s="58"/>
      <c r="F40" s="58"/>
      <c r="G40" s="193">
        <v>23851</v>
      </c>
      <c r="H40" s="193"/>
      <c r="I40" s="193">
        <v>22610</v>
      </c>
      <c r="K40" s="666"/>
      <c r="L40" s="665"/>
      <c r="M40" s="666"/>
      <c r="N40" s="666"/>
    </row>
    <row r="41" spans="1:14" s="55" customFormat="1" ht="20.25" x14ac:dyDescent="0.2">
      <c r="A41" s="54"/>
      <c r="B41" s="54"/>
      <c r="C41" s="58" t="s">
        <v>122</v>
      </c>
      <c r="D41" s="58"/>
      <c r="E41" s="58"/>
      <c r="F41" s="58"/>
      <c r="G41" s="193">
        <v>13155</v>
      </c>
      <c r="H41" s="193"/>
      <c r="I41" s="193">
        <v>12600</v>
      </c>
      <c r="J41" s="578"/>
      <c r="K41" s="666"/>
      <c r="L41" s="665"/>
      <c r="M41" s="666"/>
    </row>
    <row r="42" spans="1:14" s="55" customFormat="1" ht="20.25" x14ac:dyDescent="0.2">
      <c r="A42" s="54"/>
      <c r="B42" s="54"/>
      <c r="C42" s="58" t="s">
        <v>129</v>
      </c>
      <c r="D42" s="58"/>
      <c r="E42" s="58"/>
      <c r="F42" s="58"/>
      <c r="G42" s="193">
        <v>1320</v>
      </c>
      <c r="H42" s="193"/>
      <c r="I42" s="193">
        <v>900</v>
      </c>
      <c r="K42" s="666"/>
      <c r="L42" s="665"/>
      <c r="M42" s="666"/>
    </row>
    <row r="43" spans="1:14" s="55" customFormat="1" ht="20.25" x14ac:dyDescent="0.2">
      <c r="A43" s="54"/>
      <c r="B43" s="54"/>
      <c r="C43" s="58" t="s">
        <v>123</v>
      </c>
      <c r="D43" s="58"/>
      <c r="E43" s="58"/>
      <c r="F43" s="58"/>
      <c r="G43" s="193">
        <f>1500+4750</f>
        <v>6250</v>
      </c>
      <c r="H43" s="193"/>
      <c r="I43" s="193">
        <v>6750</v>
      </c>
      <c r="J43" s="578"/>
      <c r="K43" s="666"/>
      <c r="L43" s="665"/>
      <c r="M43" s="666"/>
    </row>
    <row r="44" spans="1:14" s="55" customFormat="1" ht="20.25" customHeight="1" x14ac:dyDescent="0.2">
      <c r="A44" s="54"/>
      <c r="B44" s="54"/>
      <c r="C44" s="58" t="s">
        <v>198</v>
      </c>
      <c r="D44" s="58"/>
      <c r="E44" s="58"/>
      <c r="F44" s="58"/>
      <c r="G44" s="193">
        <v>8812</v>
      </c>
      <c r="H44" s="193"/>
      <c r="I44" s="193">
        <v>8840</v>
      </c>
      <c r="K44" s="666"/>
      <c r="L44" s="665"/>
      <c r="M44" s="666"/>
    </row>
    <row r="45" spans="1:14" s="55" customFormat="1" ht="20.25" x14ac:dyDescent="0.2">
      <c r="A45" s="58"/>
      <c r="B45" s="58"/>
      <c r="C45" s="58" t="s">
        <v>125</v>
      </c>
      <c r="D45" s="58"/>
      <c r="E45" s="58"/>
      <c r="F45" s="58"/>
      <c r="G45" s="193">
        <v>13980</v>
      </c>
      <c r="H45" s="193"/>
      <c r="I45" s="193">
        <v>150220</v>
      </c>
      <c r="K45" s="666"/>
      <c r="L45" s="665"/>
      <c r="M45" s="666"/>
    </row>
    <row r="46" spans="1:14" s="55" customFormat="1" ht="20.25" x14ac:dyDescent="0.2">
      <c r="A46" s="54"/>
      <c r="B46" s="54"/>
      <c r="C46" s="58" t="s">
        <v>164</v>
      </c>
      <c r="D46" s="58"/>
      <c r="E46" s="58"/>
      <c r="F46" s="58"/>
      <c r="G46" s="193">
        <v>71775</v>
      </c>
      <c r="H46" s="193"/>
      <c r="I46" s="193">
        <v>75200</v>
      </c>
      <c r="K46" s="666"/>
      <c r="L46" s="665"/>
      <c r="M46" s="666"/>
    </row>
    <row r="47" spans="1:14" s="55" customFormat="1" ht="20.25" x14ac:dyDescent="0.2">
      <c r="A47" s="54"/>
      <c r="B47" s="54"/>
      <c r="C47" s="58" t="s">
        <v>126</v>
      </c>
      <c r="D47" s="58"/>
      <c r="E47" s="58"/>
      <c r="F47" s="58"/>
      <c r="G47" s="193">
        <f>3750+38808</f>
        <v>42558</v>
      </c>
      <c r="H47" s="193"/>
      <c r="I47" s="193">
        <v>79050</v>
      </c>
      <c r="K47" s="666"/>
      <c r="L47" s="665"/>
      <c r="M47" s="666"/>
    </row>
    <row r="48" spans="1:14" s="55" customFormat="1" ht="20.25" x14ac:dyDescent="0.2">
      <c r="A48" s="58"/>
      <c r="B48" s="58"/>
      <c r="D48" s="54" t="s">
        <v>127</v>
      </c>
      <c r="G48" s="193">
        <f>SUM(G27:G47)</f>
        <v>1718286</v>
      </c>
      <c r="H48" s="193"/>
      <c r="I48" s="193">
        <f>SUM(I27:I47)</f>
        <v>1724853</v>
      </c>
      <c r="K48" s="666"/>
      <c r="L48" s="665"/>
      <c r="M48" s="666"/>
    </row>
    <row r="49" spans="1:13" s="55" customFormat="1" ht="8.25" customHeight="1" x14ac:dyDescent="0.2">
      <c r="A49" s="58"/>
      <c r="B49" s="58"/>
      <c r="C49" s="54"/>
      <c r="D49" s="54"/>
      <c r="G49" s="193"/>
      <c r="H49" s="193"/>
      <c r="I49" s="193"/>
      <c r="K49" s="666"/>
      <c r="L49" s="665"/>
      <c r="M49" s="666"/>
    </row>
    <row r="50" spans="1:13" s="55" customFormat="1" ht="20.25" x14ac:dyDescent="0.2">
      <c r="A50" s="58"/>
      <c r="B50" s="58"/>
      <c r="C50" s="670" t="s">
        <v>415</v>
      </c>
      <c r="D50"/>
      <c r="E50" s="54"/>
      <c r="F50" s="54"/>
      <c r="G50" s="201">
        <f>G24-G48</f>
        <v>-113372</v>
      </c>
      <c r="H50" s="193"/>
      <c r="I50" s="201">
        <f>I24-I48</f>
        <v>-5513</v>
      </c>
      <c r="K50" s="666"/>
      <c r="L50" s="665"/>
      <c r="M50" s="666"/>
    </row>
    <row r="51" spans="1:13" s="55" customFormat="1" ht="9" customHeight="1" x14ac:dyDescent="0.2">
      <c r="A51" s="58"/>
      <c r="B51" s="58"/>
      <c r="C51" s="58"/>
      <c r="D51" s="58"/>
      <c r="E51" s="58"/>
      <c r="F51" s="58"/>
      <c r="G51" s="193"/>
      <c r="H51" s="193"/>
      <c r="I51" s="193"/>
      <c r="K51" s="666"/>
      <c r="L51" s="665"/>
      <c r="M51" s="666"/>
    </row>
    <row r="52" spans="1:13" s="55" customFormat="1" ht="23.25" customHeight="1" x14ac:dyDescent="0.2">
      <c r="A52" s="58"/>
      <c r="B52" s="58"/>
      <c r="C52" s="58" t="s">
        <v>464</v>
      </c>
      <c r="D52" s="58"/>
      <c r="F52" s="58"/>
      <c r="G52" s="193">
        <v>48285</v>
      </c>
      <c r="H52" s="193"/>
      <c r="I52" s="193">
        <v>39540</v>
      </c>
      <c r="K52" s="666"/>
      <c r="L52" s="665"/>
      <c r="M52" s="666"/>
    </row>
    <row r="53" spans="1:13" s="55" customFormat="1" ht="20.25" x14ac:dyDescent="0.2">
      <c r="A53" s="58"/>
      <c r="B53" s="58"/>
      <c r="C53" s="58" t="s">
        <v>32</v>
      </c>
      <c r="D53" s="58"/>
      <c r="F53" s="58"/>
      <c r="G53" s="193">
        <v>5933</v>
      </c>
      <c r="H53" s="193"/>
      <c r="I53" s="193">
        <v>465</v>
      </c>
      <c r="K53" s="666"/>
      <c r="L53" s="665"/>
      <c r="M53" s="666"/>
    </row>
    <row r="54" spans="1:13" s="55" customFormat="1" ht="9" customHeight="1" thickBot="1" x14ac:dyDescent="0.25">
      <c r="A54" s="58"/>
      <c r="B54" s="58"/>
      <c r="C54" s="58"/>
      <c r="D54" s="58"/>
      <c r="E54" s="58"/>
      <c r="F54" s="58"/>
      <c r="G54" s="193"/>
      <c r="H54" s="193"/>
      <c r="I54" s="193"/>
      <c r="K54" s="666"/>
      <c r="L54" s="665"/>
      <c r="M54" s="666"/>
    </row>
    <row r="55" spans="1:13" s="55" customFormat="1" ht="21.75" thickTop="1" thickBot="1" x14ac:dyDescent="0.25">
      <c r="A55" s="54"/>
      <c r="B55" s="54"/>
      <c r="C55" s="671" t="s">
        <v>416</v>
      </c>
      <c r="D55" s="672"/>
      <c r="E55" s="672"/>
      <c r="F55" s="672"/>
      <c r="G55" s="673">
        <f>G50-G53-G52</f>
        <v>-167590</v>
      </c>
      <c r="H55" s="673"/>
      <c r="I55" s="673">
        <f>I50-I53-I52</f>
        <v>-45518</v>
      </c>
      <c r="K55" s="666"/>
      <c r="L55" s="665"/>
      <c r="M55" s="666"/>
    </row>
    <row r="56" spans="1:13" s="55" customFormat="1" ht="21" thickTop="1" x14ac:dyDescent="0.2">
      <c r="A56" s="54"/>
      <c r="B56" s="54"/>
      <c r="C56" s="54"/>
      <c r="D56" s="54"/>
      <c r="E56" s="54"/>
      <c r="F56" s="54"/>
      <c r="G56" s="196"/>
      <c r="H56" s="196"/>
      <c r="K56" s="666"/>
      <c r="L56" s="665"/>
      <c r="M56" s="666"/>
    </row>
    <row r="57" spans="1:13" ht="20.25" x14ac:dyDescent="0.3">
      <c r="B57" s="674" t="s">
        <v>475</v>
      </c>
      <c r="C57" s="675"/>
      <c r="F57" s="607"/>
      <c r="G57" s="227"/>
      <c r="H57" s="227"/>
      <c r="I57" s="675"/>
    </row>
    <row r="58" spans="1:13" ht="9.75" customHeight="1" x14ac:dyDescent="0.3">
      <c r="B58" s="674"/>
      <c r="C58" s="675"/>
      <c r="F58" s="607"/>
      <c r="G58" s="227"/>
      <c r="H58" s="227"/>
      <c r="I58" s="675"/>
    </row>
    <row r="59" spans="1:13" ht="20.25" x14ac:dyDescent="0.3">
      <c r="B59" s="674"/>
      <c r="C59" s="30" t="s">
        <v>476</v>
      </c>
      <c r="F59" s="607"/>
      <c r="G59" s="227"/>
      <c r="H59" s="227"/>
      <c r="I59" s="675"/>
    </row>
    <row r="60" spans="1:13" ht="20.25" x14ac:dyDescent="0.3">
      <c r="B60" s="674"/>
      <c r="C60" s="441" t="s">
        <v>477</v>
      </c>
      <c r="F60" s="607"/>
      <c r="G60" s="227"/>
      <c r="H60" s="227"/>
      <c r="I60" s="675"/>
    </row>
    <row r="61" spans="1:13" ht="33.75" customHeight="1" x14ac:dyDescent="0.3">
      <c r="B61" s="674"/>
      <c r="C61" s="790" t="s">
        <v>527</v>
      </c>
      <c r="D61" s="790"/>
      <c r="E61" s="790"/>
      <c r="F61" s="790"/>
      <c r="G61" s="790"/>
      <c r="H61" s="790"/>
      <c r="I61" s="790"/>
    </row>
    <row r="62" spans="1:13" s="705" customFormat="1" ht="39" customHeight="1" x14ac:dyDescent="0.2">
      <c r="A62" s="703"/>
      <c r="B62" s="704"/>
      <c r="C62" s="791" t="s">
        <v>526</v>
      </c>
      <c r="D62" s="791"/>
      <c r="E62" s="791"/>
      <c r="F62" s="791"/>
      <c r="G62" s="791"/>
      <c r="H62" s="791"/>
      <c r="I62" s="791"/>
      <c r="K62" s="706"/>
      <c r="L62" s="706"/>
      <c r="M62" s="706"/>
    </row>
    <row r="63" spans="1:13" ht="20.25" x14ac:dyDescent="0.3">
      <c r="B63" s="674"/>
      <c r="C63" s="441" t="s">
        <v>523</v>
      </c>
      <c r="F63" s="607"/>
      <c r="G63" s="227"/>
      <c r="H63" s="227"/>
      <c r="I63" s="675"/>
    </row>
    <row r="64" spans="1:13" ht="20.25" x14ac:dyDescent="0.3">
      <c r="B64" s="674"/>
      <c r="C64">
        <v>1</v>
      </c>
      <c r="D64" s="441" t="s">
        <v>508</v>
      </c>
      <c r="F64" s="607"/>
      <c r="G64" s="227"/>
      <c r="H64" s="227"/>
      <c r="I64" s="675"/>
    </row>
    <row r="65" spans="2:9" ht="20.25" x14ac:dyDescent="0.3">
      <c r="B65" s="674"/>
      <c r="C65" s="441">
        <v>2</v>
      </c>
      <c r="D65" s="441" t="s">
        <v>509</v>
      </c>
      <c r="F65" s="607"/>
      <c r="G65" s="227"/>
      <c r="H65" s="227"/>
      <c r="I65" s="675"/>
    </row>
    <row r="66" spans="2:9" ht="20.25" x14ac:dyDescent="0.3">
      <c r="B66" s="674"/>
      <c r="C66" s="441">
        <v>3</v>
      </c>
      <c r="D66" s="441" t="s">
        <v>510</v>
      </c>
      <c r="F66" s="607"/>
      <c r="G66" s="227"/>
      <c r="H66" s="227"/>
      <c r="I66" s="675"/>
    </row>
    <row r="67" spans="2:9" ht="20.25" x14ac:dyDescent="0.3">
      <c r="B67" s="674"/>
      <c r="C67" s="441" t="s">
        <v>524</v>
      </c>
      <c r="D67" s="441"/>
      <c r="F67" s="607"/>
      <c r="G67" s="227"/>
      <c r="H67" s="227"/>
      <c r="I67" s="675"/>
    </row>
    <row r="68" spans="2:9" ht="39.75" customHeight="1" x14ac:dyDescent="0.3">
      <c r="B68" s="674"/>
      <c r="C68" s="790" t="s">
        <v>525</v>
      </c>
      <c r="D68" s="790"/>
      <c r="E68" s="790"/>
      <c r="F68" s="790"/>
      <c r="G68" s="790"/>
      <c r="H68" s="790"/>
      <c r="I68" s="790"/>
    </row>
    <row r="69" spans="2:9" ht="20.25" customHeight="1" x14ac:dyDescent="0.2">
      <c r="C69" s="790" t="s">
        <v>528</v>
      </c>
      <c r="D69" s="790"/>
      <c r="E69" s="790"/>
      <c r="F69" s="790"/>
      <c r="G69" s="790"/>
      <c r="H69" s="790"/>
      <c r="I69" s="790"/>
    </row>
    <row r="70" spans="2:9" ht="11.25" customHeight="1" x14ac:dyDescent="0.3">
      <c r="C70" s="441"/>
      <c r="F70" s="607"/>
      <c r="G70" s="227"/>
      <c r="H70" s="227"/>
      <c r="I70" s="675"/>
    </row>
    <row r="71" spans="2:9" ht="20.25" x14ac:dyDescent="0.3">
      <c r="C71" s="676" t="s">
        <v>478</v>
      </c>
      <c r="F71" s="607"/>
      <c r="G71" s="227"/>
      <c r="H71" s="227"/>
      <c r="I71" s="675"/>
    </row>
    <row r="72" spans="2:9" ht="38.25" customHeight="1" x14ac:dyDescent="0.2">
      <c r="C72" s="790" t="s">
        <v>479</v>
      </c>
      <c r="D72" s="790"/>
      <c r="E72" s="790"/>
      <c r="F72" s="790"/>
      <c r="G72" s="790"/>
      <c r="H72" s="790"/>
      <c r="I72" s="790"/>
    </row>
    <row r="73" spans="2:9" ht="37.5" customHeight="1" x14ac:dyDescent="0.2">
      <c r="C73" s="791" t="s">
        <v>522</v>
      </c>
      <c r="D73" s="791"/>
      <c r="E73" s="791"/>
      <c r="F73" s="791"/>
      <c r="G73" s="791"/>
      <c r="H73" s="791"/>
      <c r="I73" s="791"/>
    </row>
    <row r="74" spans="2:9" ht="18" x14ac:dyDescent="0.25">
      <c r="C74" s="441" t="s">
        <v>480</v>
      </c>
      <c r="F74" s="607"/>
      <c r="G74" s="675"/>
      <c r="H74" s="675"/>
      <c r="I74" s="675"/>
    </row>
    <row r="75" spans="2:9" ht="18" x14ac:dyDescent="0.25">
      <c r="C75" s="441" t="s">
        <v>520</v>
      </c>
      <c r="F75" s="607"/>
      <c r="G75" s="675"/>
      <c r="H75" s="675"/>
      <c r="I75" s="675"/>
    </row>
    <row r="76" spans="2:9" ht="29.25" customHeight="1" x14ac:dyDescent="0.2">
      <c r="C76" s="790" t="s">
        <v>521</v>
      </c>
      <c r="D76" s="790"/>
      <c r="E76" s="790"/>
      <c r="F76" s="790"/>
      <c r="G76" s="790"/>
      <c r="H76" s="790"/>
      <c r="I76" s="790"/>
    </row>
    <row r="77" spans="2:9" ht="18" x14ac:dyDescent="0.25">
      <c r="C77" s="229" t="s">
        <v>511</v>
      </c>
      <c r="F77" s="607"/>
      <c r="G77" s="675"/>
      <c r="H77" s="675"/>
      <c r="I77" s="675"/>
    </row>
    <row r="78" spans="2:9" ht="18" x14ac:dyDescent="0.25">
      <c r="C78" s="229">
        <v>1</v>
      </c>
      <c r="D78" s="229" t="s">
        <v>512</v>
      </c>
      <c r="F78" s="607"/>
      <c r="G78" s="675"/>
      <c r="H78" s="675"/>
      <c r="I78" s="675"/>
    </row>
    <row r="79" spans="2:9" ht="18" x14ac:dyDescent="0.25">
      <c r="C79" s="229">
        <v>2</v>
      </c>
      <c r="D79" s="229" t="s">
        <v>518</v>
      </c>
      <c r="F79" s="607"/>
    </row>
    <row r="80" spans="2:9" ht="18" x14ac:dyDescent="0.25">
      <c r="C80" s="229">
        <v>3</v>
      </c>
      <c r="D80" s="229" t="s">
        <v>519</v>
      </c>
      <c r="F80" s="607"/>
    </row>
    <row r="81" spans="3:6" ht="18" x14ac:dyDescent="0.25">
      <c r="C81" s="229">
        <v>4</v>
      </c>
      <c r="D81" s="229" t="s">
        <v>514</v>
      </c>
      <c r="F81" s="607"/>
    </row>
    <row r="82" spans="3:6" ht="18" x14ac:dyDescent="0.25">
      <c r="C82" s="229" t="s">
        <v>513</v>
      </c>
      <c r="D82" s="229"/>
      <c r="F82" s="607"/>
    </row>
    <row r="83" spans="3:6" ht="18" x14ac:dyDescent="0.25">
      <c r="C83" s="229" t="s">
        <v>516</v>
      </c>
      <c r="D83" s="229"/>
      <c r="F83" s="607"/>
    </row>
    <row r="84" spans="3:6" ht="18" x14ac:dyDescent="0.25">
      <c r="C84" s="229">
        <v>1</v>
      </c>
      <c r="D84" s="229" t="s">
        <v>515</v>
      </c>
      <c r="F84" s="88"/>
    </row>
    <row r="85" spans="3:6" ht="18" x14ac:dyDescent="0.25">
      <c r="C85" s="229">
        <v>2</v>
      </c>
      <c r="D85" s="229" t="s">
        <v>517</v>
      </c>
      <c r="F85" s="88"/>
    </row>
    <row r="86" spans="3:6" x14ac:dyDescent="0.2">
      <c r="C86" s="229" t="s">
        <v>513</v>
      </c>
      <c r="D86" s="229"/>
    </row>
    <row r="87" spans="3:6" x14ac:dyDescent="0.2">
      <c r="C87" s="229" t="s">
        <v>529</v>
      </c>
      <c r="D87" s="229"/>
    </row>
    <row r="88" spans="3:6" x14ac:dyDescent="0.2">
      <c r="C88" s="229" t="s">
        <v>530</v>
      </c>
      <c r="D88" s="229"/>
    </row>
    <row r="89" spans="3:6" x14ac:dyDescent="0.2">
      <c r="C89" s="229"/>
      <c r="D89" s="229"/>
    </row>
    <row r="90" spans="3:6" x14ac:dyDescent="0.2">
      <c r="C90" s="229"/>
      <c r="D90" s="229"/>
    </row>
    <row r="91" spans="3:6" x14ac:dyDescent="0.2">
      <c r="C91" s="229"/>
      <c r="D91" s="229"/>
    </row>
    <row r="92" spans="3:6" x14ac:dyDescent="0.2">
      <c r="C92" s="229"/>
      <c r="D92" s="229"/>
    </row>
    <row r="93" spans="3:6" x14ac:dyDescent="0.2">
      <c r="C93" s="229"/>
      <c r="D93" s="229"/>
    </row>
    <row r="94" spans="3:6" x14ac:dyDescent="0.2">
      <c r="C94" s="229"/>
      <c r="D94" s="229"/>
    </row>
    <row r="95" spans="3:6" x14ac:dyDescent="0.2">
      <c r="C95" s="229"/>
      <c r="D95" s="229"/>
    </row>
    <row r="96" spans="3:6" x14ac:dyDescent="0.2">
      <c r="C96" s="229"/>
      <c r="D96" s="229"/>
    </row>
    <row r="97" spans="3:4" x14ac:dyDescent="0.2">
      <c r="C97" s="229"/>
      <c r="D97" s="229"/>
    </row>
    <row r="98" spans="3:4" x14ac:dyDescent="0.2">
      <c r="C98" s="229"/>
    </row>
    <row r="99" spans="3:4" x14ac:dyDescent="0.2">
      <c r="C99" s="229"/>
    </row>
    <row r="100" spans="3:4" x14ac:dyDescent="0.2">
      <c r="C100" s="229"/>
    </row>
    <row r="101" spans="3:4" x14ac:dyDescent="0.2">
      <c r="C101" s="229"/>
    </row>
    <row r="102" spans="3:4" x14ac:dyDescent="0.2">
      <c r="C102" s="229"/>
    </row>
    <row r="103" spans="3:4" x14ac:dyDescent="0.2">
      <c r="C103" s="229"/>
    </row>
    <row r="104" spans="3:4" x14ac:dyDescent="0.2">
      <c r="C104" s="229"/>
    </row>
    <row r="105" spans="3:4" x14ac:dyDescent="0.2">
      <c r="C105" s="229"/>
    </row>
    <row r="106" spans="3:4" x14ac:dyDescent="0.2">
      <c r="C106" s="229"/>
    </row>
    <row r="107" spans="3:4" x14ac:dyDescent="0.2">
      <c r="C107" s="229"/>
    </row>
    <row r="108" spans="3:4" x14ac:dyDescent="0.2">
      <c r="C108" s="229"/>
    </row>
    <row r="109" spans="3:4" x14ac:dyDescent="0.2">
      <c r="C109" s="229"/>
    </row>
    <row r="110" spans="3:4" x14ac:dyDescent="0.2">
      <c r="C110" s="229"/>
    </row>
    <row r="111" spans="3:4" x14ac:dyDescent="0.2">
      <c r="C111" s="229"/>
    </row>
    <row r="112" spans="3:4" x14ac:dyDescent="0.2">
      <c r="C112" s="229"/>
    </row>
  </sheetData>
  <mergeCells count="8">
    <mergeCell ref="C76:I76"/>
    <mergeCell ref="C39:F39"/>
    <mergeCell ref="C72:I72"/>
    <mergeCell ref="C73:I73"/>
    <mergeCell ref="C68:I68"/>
    <mergeCell ref="C69:I69"/>
    <mergeCell ref="C61:I61"/>
    <mergeCell ref="C62:I62"/>
  </mergeCells>
  <pageMargins left="0.7" right="0.7" top="0.75" bottom="0.75" header="0.3" footer="0.3"/>
  <pageSetup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M117"/>
  <sheetViews>
    <sheetView zoomScale="70" zoomScaleNormal="70" workbookViewId="0">
      <selection activeCell="F41" sqref="F41"/>
    </sheetView>
  </sheetViews>
  <sheetFormatPr defaultRowHeight="18" x14ac:dyDescent="0.25"/>
  <cols>
    <col min="1" max="1" width="2.875" style="45" customWidth="1"/>
    <col min="2" max="2" width="8.125" style="45" customWidth="1"/>
    <col min="3" max="3" width="8.75" style="45" customWidth="1"/>
    <col min="4" max="4" width="5.75" style="45" customWidth="1"/>
    <col min="5" max="5" width="2.875" style="45" customWidth="1"/>
    <col min="6" max="6" width="51.375" style="45" bestFit="1" customWidth="1"/>
    <col min="7" max="7" width="24.25" style="45" customWidth="1"/>
    <col min="8" max="9" width="24.125" style="45" customWidth="1"/>
    <col min="10" max="10" width="24.125" customWidth="1"/>
    <col min="11" max="11" width="22.875" bestFit="1" customWidth="1"/>
    <col min="12" max="12" width="10.25" style="305" bestFit="1" customWidth="1"/>
    <col min="13" max="13" width="10.875" bestFit="1" customWidth="1"/>
    <col min="14" max="15" width="10.875" customWidth="1"/>
    <col min="16" max="16" width="10.5" bestFit="1" customWidth="1"/>
    <col min="17" max="17" width="15.25" customWidth="1"/>
    <col min="18" max="18" width="14.625" style="21" customWidth="1"/>
    <col min="23" max="23" width="13.125" style="4" customWidth="1"/>
    <col min="24" max="24" width="18" customWidth="1"/>
    <col min="25" max="25" width="11.375" style="20" bestFit="1" customWidth="1"/>
    <col min="233" max="233" width="2.875" customWidth="1"/>
    <col min="234" max="234" width="8.125" customWidth="1"/>
    <col min="235" max="235" width="8.75" customWidth="1"/>
    <col min="236" max="236" width="11" customWidth="1"/>
    <col min="237" max="237" width="2.875" customWidth="1"/>
    <col min="238" max="238" width="77.625" customWidth="1"/>
    <col min="239" max="239" width="20.875" customWidth="1"/>
    <col min="489" max="489" width="2.875" customWidth="1"/>
    <col min="490" max="490" width="8.125" customWidth="1"/>
    <col min="491" max="491" width="8.75" customWidth="1"/>
    <col min="492" max="492" width="11" customWidth="1"/>
    <col min="493" max="493" width="2.875" customWidth="1"/>
    <col min="494" max="494" width="77.625" customWidth="1"/>
    <col min="495" max="495" width="20.875" customWidth="1"/>
    <col min="745" max="745" width="2.875" customWidth="1"/>
    <col min="746" max="746" width="8.125" customWidth="1"/>
    <col min="747" max="747" width="8.75" customWidth="1"/>
    <col min="748" max="748" width="11" customWidth="1"/>
    <col min="749" max="749" width="2.875" customWidth="1"/>
    <col min="750" max="750" width="77.625" customWidth="1"/>
    <col min="751" max="751" width="20.875" customWidth="1"/>
    <col min="1001" max="1001" width="2.875" customWidth="1"/>
    <col min="1002" max="1002" width="8.125" customWidth="1"/>
    <col min="1003" max="1003" width="8.75" customWidth="1"/>
    <col min="1004" max="1004" width="11" customWidth="1"/>
    <col min="1005" max="1005" width="2.875" customWidth="1"/>
    <col min="1006" max="1006" width="77.625" customWidth="1"/>
    <col min="1007" max="1007" width="20.875" customWidth="1"/>
    <col min="1257" max="1257" width="2.875" customWidth="1"/>
    <col min="1258" max="1258" width="8.125" customWidth="1"/>
    <col min="1259" max="1259" width="8.75" customWidth="1"/>
    <col min="1260" max="1260" width="11" customWidth="1"/>
    <col min="1261" max="1261" width="2.875" customWidth="1"/>
    <col min="1262" max="1262" width="77.625" customWidth="1"/>
    <col min="1263" max="1263" width="20.875" customWidth="1"/>
    <col min="1513" max="1513" width="2.875" customWidth="1"/>
    <col min="1514" max="1514" width="8.125" customWidth="1"/>
    <col min="1515" max="1515" width="8.75" customWidth="1"/>
    <col min="1516" max="1516" width="11" customWidth="1"/>
    <col min="1517" max="1517" width="2.875" customWidth="1"/>
    <col min="1518" max="1518" width="77.625" customWidth="1"/>
    <col min="1519" max="1519" width="20.875" customWidth="1"/>
    <col min="1769" max="1769" width="2.875" customWidth="1"/>
    <col min="1770" max="1770" width="8.125" customWidth="1"/>
    <col min="1771" max="1771" width="8.75" customWidth="1"/>
    <col min="1772" max="1772" width="11" customWidth="1"/>
    <col min="1773" max="1773" width="2.875" customWidth="1"/>
    <col min="1774" max="1774" width="77.625" customWidth="1"/>
    <col min="1775" max="1775" width="20.875" customWidth="1"/>
    <col min="2025" max="2025" width="2.875" customWidth="1"/>
    <col min="2026" max="2026" width="8.125" customWidth="1"/>
    <col min="2027" max="2027" width="8.75" customWidth="1"/>
    <col min="2028" max="2028" width="11" customWidth="1"/>
    <col min="2029" max="2029" width="2.875" customWidth="1"/>
    <col min="2030" max="2030" width="77.625" customWidth="1"/>
    <col min="2031" max="2031" width="20.875" customWidth="1"/>
    <col min="2281" max="2281" width="2.875" customWidth="1"/>
    <col min="2282" max="2282" width="8.125" customWidth="1"/>
    <col min="2283" max="2283" width="8.75" customWidth="1"/>
    <col min="2284" max="2284" width="11" customWidth="1"/>
    <col min="2285" max="2285" width="2.875" customWidth="1"/>
    <col min="2286" max="2286" width="77.625" customWidth="1"/>
    <col min="2287" max="2287" width="20.875" customWidth="1"/>
    <col min="2537" max="2537" width="2.875" customWidth="1"/>
    <col min="2538" max="2538" width="8.125" customWidth="1"/>
    <col min="2539" max="2539" width="8.75" customWidth="1"/>
    <col min="2540" max="2540" width="11" customWidth="1"/>
    <col min="2541" max="2541" width="2.875" customWidth="1"/>
    <col min="2542" max="2542" width="77.625" customWidth="1"/>
    <col min="2543" max="2543" width="20.875" customWidth="1"/>
    <col min="2793" max="2793" width="2.875" customWidth="1"/>
    <col min="2794" max="2794" width="8.125" customWidth="1"/>
    <col min="2795" max="2795" width="8.75" customWidth="1"/>
    <col min="2796" max="2796" width="11" customWidth="1"/>
    <col min="2797" max="2797" width="2.875" customWidth="1"/>
    <col min="2798" max="2798" width="77.625" customWidth="1"/>
    <col min="2799" max="2799" width="20.875" customWidth="1"/>
    <col min="3049" max="3049" width="2.875" customWidth="1"/>
    <col min="3050" max="3050" width="8.125" customWidth="1"/>
    <col min="3051" max="3051" width="8.75" customWidth="1"/>
    <col min="3052" max="3052" width="11" customWidth="1"/>
    <col min="3053" max="3053" width="2.875" customWidth="1"/>
    <col min="3054" max="3054" width="77.625" customWidth="1"/>
    <col min="3055" max="3055" width="20.875" customWidth="1"/>
    <col min="3305" max="3305" width="2.875" customWidth="1"/>
    <col min="3306" max="3306" width="8.125" customWidth="1"/>
    <col min="3307" max="3307" width="8.75" customWidth="1"/>
    <col min="3308" max="3308" width="11" customWidth="1"/>
    <col min="3309" max="3309" width="2.875" customWidth="1"/>
    <col min="3310" max="3310" width="77.625" customWidth="1"/>
    <col min="3311" max="3311" width="20.875" customWidth="1"/>
    <col min="3561" max="3561" width="2.875" customWidth="1"/>
    <col min="3562" max="3562" width="8.125" customWidth="1"/>
    <col min="3563" max="3563" width="8.75" customWidth="1"/>
    <col min="3564" max="3564" width="11" customWidth="1"/>
    <col min="3565" max="3565" width="2.875" customWidth="1"/>
    <col min="3566" max="3566" width="77.625" customWidth="1"/>
    <col min="3567" max="3567" width="20.875" customWidth="1"/>
    <col min="3817" max="3817" width="2.875" customWidth="1"/>
    <col min="3818" max="3818" width="8.125" customWidth="1"/>
    <col min="3819" max="3819" width="8.75" customWidth="1"/>
    <col min="3820" max="3820" width="11" customWidth="1"/>
    <col min="3821" max="3821" width="2.875" customWidth="1"/>
    <col min="3822" max="3822" width="77.625" customWidth="1"/>
    <col min="3823" max="3823" width="20.875" customWidth="1"/>
    <col min="4073" max="4073" width="2.875" customWidth="1"/>
    <col min="4074" max="4074" width="8.125" customWidth="1"/>
    <col min="4075" max="4075" width="8.75" customWidth="1"/>
    <col min="4076" max="4076" width="11" customWidth="1"/>
    <col min="4077" max="4077" width="2.875" customWidth="1"/>
    <col min="4078" max="4078" width="77.625" customWidth="1"/>
    <col min="4079" max="4079" width="20.875" customWidth="1"/>
    <col min="4329" max="4329" width="2.875" customWidth="1"/>
    <col min="4330" max="4330" width="8.125" customWidth="1"/>
    <col min="4331" max="4331" width="8.75" customWidth="1"/>
    <col min="4332" max="4332" width="11" customWidth="1"/>
    <col min="4333" max="4333" width="2.875" customWidth="1"/>
    <col min="4334" max="4334" width="77.625" customWidth="1"/>
    <col min="4335" max="4335" width="20.875" customWidth="1"/>
    <col min="4585" max="4585" width="2.875" customWidth="1"/>
    <col min="4586" max="4586" width="8.125" customWidth="1"/>
    <col min="4587" max="4587" width="8.75" customWidth="1"/>
    <col min="4588" max="4588" width="11" customWidth="1"/>
    <col min="4589" max="4589" width="2.875" customWidth="1"/>
    <col min="4590" max="4590" width="77.625" customWidth="1"/>
    <col min="4591" max="4591" width="20.875" customWidth="1"/>
    <col min="4841" max="4841" width="2.875" customWidth="1"/>
    <col min="4842" max="4842" width="8.125" customWidth="1"/>
    <col min="4843" max="4843" width="8.75" customWidth="1"/>
    <col min="4844" max="4844" width="11" customWidth="1"/>
    <col min="4845" max="4845" width="2.875" customWidth="1"/>
    <col min="4846" max="4846" width="77.625" customWidth="1"/>
    <col min="4847" max="4847" width="20.875" customWidth="1"/>
    <col min="5097" max="5097" width="2.875" customWidth="1"/>
    <col min="5098" max="5098" width="8.125" customWidth="1"/>
    <col min="5099" max="5099" width="8.75" customWidth="1"/>
    <col min="5100" max="5100" width="11" customWidth="1"/>
    <col min="5101" max="5101" width="2.875" customWidth="1"/>
    <col min="5102" max="5102" width="77.625" customWidth="1"/>
    <col min="5103" max="5103" width="20.875" customWidth="1"/>
    <col min="5353" max="5353" width="2.875" customWidth="1"/>
    <col min="5354" max="5354" width="8.125" customWidth="1"/>
    <col min="5355" max="5355" width="8.75" customWidth="1"/>
    <col min="5356" max="5356" width="11" customWidth="1"/>
    <col min="5357" max="5357" width="2.875" customWidth="1"/>
    <col min="5358" max="5358" width="77.625" customWidth="1"/>
    <col min="5359" max="5359" width="20.875" customWidth="1"/>
    <col min="5609" max="5609" width="2.875" customWidth="1"/>
    <col min="5610" max="5610" width="8.125" customWidth="1"/>
    <col min="5611" max="5611" width="8.75" customWidth="1"/>
    <col min="5612" max="5612" width="11" customWidth="1"/>
    <col min="5613" max="5613" width="2.875" customWidth="1"/>
    <col min="5614" max="5614" width="77.625" customWidth="1"/>
    <col min="5615" max="5615" width="20.875" customWidth="1"/>
    <col min="5865" max="5865" width="2.875" customWidth="1"/>
    <col min="5866" max="5866" width="8.125" customWidth="1"/>
    <col min="5867" max="5867" width="8.75" customWidth="1"/>
    <col min="5868" max="5868" width="11" customWidth="1"/>
    <col min="5869" max="5869" width="2.875" customWidth="1"/>
    <col min="5870" max="5870" width="77.625" customWidth="1"/>
    <col min="5871" max="5871" width="20.875" customWidth="1"/>
    <col min="6121" max="6121" width="2.875" customWidth="1"/>
    <col min="6122" max="6122" width="8.125" customWidth="1"/>
    <col min="6123" max="6123" width="8.75" customWidth="1"/>
    <col min="6124" max="6124" width="11" customWidth="1"/>
    <col min="6125" max="6125" width="2.875" customWidth="1"/>
    <col min="6126" max="6126" width="77.625" customWidth="1"/>
    <col min="6127" max="6127" width="20.875" customWidth="1"/>
    <col min="6377" max="6377" width="2.875" customWidth="1"/>
    <col min="6378" max="6378" width="8.125" customWidth="1"/>
    <col min="6379" max="6379" width="8.75" customWidth="1"/>
    <col min="6380" max="6380" width="11" customWidth="1"/>
    <col min="6381" max="6381" width="2.875" customWidth="1"/>
    <col min="6382" max="6382" width="77.625" customWidth="1"/>
    <col min="6383" max="6383" width="20.875" customWidth="1"/>
    <col min="6633" max="6633" width="2.875" customWidth="1"/>
    <col min="6634" max="6634" width="8.125" customWidth="1"/>
    <col min="6635" max="6635" width="8.75" customWidth="1"/>
    <col min="6636" max="6636" width="11" customWidth="1"/>
    <col min="6637" max="6637" width="2.875" customWidth="1"/>
    <col min="6638" max="6638" width="77.625" customWidth="1"/>
    <col min="6639" max="6639" width="20.875" customWidth="1"/>
    <col min="6889" max="6889" width="2.875" customWidth="1"/>
    <col min="6890" max="6890" width="8.125" customWidth="1"/>
    <col min="6891" max="6891" width="8.75" customWidth="1"/>
    <col min="6892" max="6892" width="11" customWidth="1"/>
    <col min="6893" max="6893" width="2.875" customWidth="1"/>
    <col min="6894" max="6894" width="77.625" customWidth="1"/>
    <col min="6895" max="6895" width="20.875" customWidth="1"/>
    <col min="7145" max="7145" width="2.875" customWidth="1"/>
    <col min="7146" max="7146" width="8.125" customWidth="1"/>
    <col min="7147" max="7147" width="8.75" customWidth="1"/>
    <col min="7148" max="7148" width="11" customWidth="1"/>
    <col min="7149" max="7149" width="2.875" customWidth="1"/>
    <col min="7150" max="7150" width="77.625" customWidth="1"/>
    <col min="7151" max="7151" width="20.875" customWidth="1"/>
    <col min="7401" max="7401" width="2.875" customWidth="1"/>
    <col min="7402" max="7402" width="8.125" customWidth="1"/>
    <col min="7403" max="7403" width="8.75" customWidth="1"/>
    <col min="7404" max="7404" width="11" customWidth="1"/>
    <col min="7405" max="7405" width="2.875" customWidth="1"/>
    <col min="7406" max="7406" width="77.625" customWidth="1"/>
    <col min="7407" max="7407" width="20.875" customWidth="1"/>
    <col min="7657" max="7657" width="2.875" customWidth="1"/>
    <col min="7658" max="7658" width="8.125" customWidth="1"/>
    <col min="7659" max="7659" width="8.75" customWidth="1"/>
    <col min="7660" max="7660" width="11" customWidth="1"/>
    <col min="7661" max="7661" width="2.875" customWidth="1"/>
    <col min="7662" max="7662" width="77.625" customWidth="1"/>
    <col min="7663" max="7663" width="20.875" customWidth="1"/>
    <col min="7913" max="7913" width="2.875" customWidth="1"/>
    <col min="7914" max="7914" width="8.125" customWidth="1"/>
    <col min="7915" max="7915" width="8.75" customWidth="1"/>
    <col min="7916" max="7916" width="11" customWidth="1"/>
    <col min="7917" max="7917" width="2.875" customWidth="1"/>
    <col min="7918" max="7918" width="77.625" customWidth="1"/>
    <col min="7919" max="7919" width="20.875" customWidth="1"/>
    <col min="8169" max="8169" width="2.875" customWidth="1"/>
    <col min="8170" max="8170" width="8.125" customWidth="1"/>
    <col min="8171" max="8171" width="8.75" customWidth="1"/>
    <col min="8172" max="8172" width="11" customWidth="1"/>
    <col min="8173" max="8173" width="2.875" customWidth="1"/>
    <col min="8174" max="8174" width="77.625" customWidth="1"/>
    <col min="8175" max="8175" width="20.875" customWidth="1"/>
    <col min="8425" max="8425" width="2.875" customWidth="1"/>
    <col min="8426" max="8426" width="8.125" customWidth="1"/>
    <col min="8427" max="8427" width="8.75" customWidth="1"/>
    <col min="8428" max="8428" width="11" customWidth="1"/>
    <col min="8429" max="8429" width="2.875" customWidth="1"/>
    <col min="8430" max="8430" width="77.625" customWidth="1"/>
    <col min="8431" max="8431" width="20.875" customWidth="1"/>
    <col min="8681" max="8681" width="2.875" customWidth="1"/>
    <col min="8682" max="8682" width="8.125" customWidth="1"/>
    <col min="8683" max="8683" width="8.75" customWidth="1"/>
    <col min="8684" max="8684" width="11" customWidth="1"/>
    <col min="8685" max="8685" width="2.875" customWidth="1"/>
    <col min="8686" max="8686" width="77.625" customWidth="1"/>
    <col min="8687" max="8687" width="20.875" customWidth="1"/>
    <col min="8937" max="8937" width="2.875" customWidth="1"/>
    <col min="8938" max="8938" width="8.125" customWidth="1"/>
    <col min="8939" max="8939" width="8.75" customWidth="1"/>
    <col min="8940" max="8940" width="11" customWidth="1"/>
    <col min="8941" max="8941" width="2.875" customWidth="1"/>
    <col min="8942" max="8942" width="77.625" customWidth="1"/>
    <col min="8943" max="8943" width="20.875" customWidth="1"/>
    <col min="9193" max="9193" width="2.875" customWidth="1"/>
    <col min="9194" max="9194" width="8.125" customWidth="1"/>
    <col min="9195" max="9195" width="8.75" customWidth="1"/>
    <col min="9196" max="9196" width="11" customWidth="1"/>
    <col min="9197" max="9197" width="2.875" customWidth="1"/>
    <col min="9198" max="9198" width="77.625" customWidth="1"/>
    <col min="9199" max="9199" width="20.875" customWidth="1"/>
    <col min="9449" max="9449" width="2.875" customWidth="1"/>
    <col min="9450" max="9450" width="8.125" customWidth="1"/>
    <col min="9451" max="9451" width="8.75" customWidth="1"/>
    <col min="9452" max="9452" width="11" customWidth="1"/>
    <col min="9453" max="9453" width="2.875" customWidth="1"/>
    <col min="9454" max="9454" width="77.625" customWidth="1"/>
    <col min="9455" max="9455" width="20.875" customWidth="1"/>
    <col min="9705" max="9705" width="2.875" customWidth="1"/>
    <col min="9706" max="9706" width="8.125" customWidth="1"/>
    <col min="9707" max="9707" width="8.75" customWidth="1"/>
    <col min="9708" max="9708" width="11" customWidth="1"/>
    <col min="9709" max="9709" width="2.875" customWidth="1"/>
    <col min="9710" max="9710" width="77.625" customWidth="1"/>
    <col min="9711" max="9711" width="20.875" customWidth="1"/>
    <col min="9961" max="9961" width="2.875" customWidth="1"/>
    <col min="9962" max="9962" width="8.125" customWidth="1"/>
    <col min="9963" max="9963" width="8.75" customWidth="1"/>
    <col min="9964" max="9964" width="11" customWidth="1"/>
    <col min="9965" max="9965" width="2.875" customWidth="1"/>
    <col min="9966" max="9966" width="77.625" customWidth="1"/>
    <col min="9967" max="9967" width="20.875" customWidth="1"/>
    <col min="10217" max="10217" width="2.875" customWidth="1"/>
    <col min="10218" max="10218" width="8.125" customWidth="1"/>
    <col min="10219" max="10219" width="8.75" customWidth="1"/>
    <col min="10220" max="10220" width="11" customWidth="1"/>
    <col min="10221" max="10221" width="2.875" customWidth="1"/>
    <col min="10222" max="10222" width="77.625" customWidth="1"/>
    <col min="10223" max="10223" width="20.875" customWidth="1"/>
    <col min="10473" max="10473" width="2.875" customWidth="1"/>
    <col min="10474" max="10474" width="8.125" customWidth="1"/>
    <col min="10475" max="10475" width="8.75" customWidth="1"/>
    <col min="10476" max="10476" width="11" customWidth="1"/>
    <col min="10477" max="10477" width="2.875" customWidth="1"/>
    <col min="10478" max="10478" width="77.625" customWidth="1"/>
    <col min="10479" max="10479" width="20.875" customWidth="1"/>
    <col min="10729" max="10729" width="2.875" customWidth="1"/>
    <col min="10730" max="10730" width="8.125" customWidth="1"/>
    <col min="10731" max="10731" width="8.75" customWidth="1"/>
    <col min="10732" max="10732" width="11" customWidth="1"/>
    <col min="10733" max="10733" width="2.875" customWidth="1"/>
    <col min="10734" max="10734" width="77.625" customWidth="1"/>
    <col min="10735" max="10735" width="20.875" customWidth="1"/>
    <col min="10985" max="10985" width="2.875" customWidth="1"/>
    <col min="10986" max="10986" width="8.125" customWidth="1"/>
    <col min="10987" max="10987" width="8.75" customWidth="1"/>
    <col min="10988" max="10988" width="11" customWidth="1"/>
    <col min="10989" max="10989" width="2.875" customWidth="1"/>
    <col min="10990" max="10990" width="77.625" customWidth="1"/>
    <col min="10991" max="10991" width="20.875" customWidth="1"/>
    <col min="11241" max="11241" width="2.875" customWidth="1"/>
    <col min="11242" max="11242" width="8.125" customWidth="1"/>
    <col min="11243" max="11243" width="8.75" customWidth="1"/>
    <col min="11244" max="11244" width="11" customWidth="1"/>
    <col min="11245" max="11245" width="2.875" customWidth="1"/>
    <col min="11246" max="11246" width="77.625" customWidth="1"/>
    <col min="11247" max="11247" width="20.875" customWidth="1"/>
    <col min="11497" max="11497" width="2.875" customWidth="1"/>
    <col min="11498" max="11498" width="8.125" customWidth="1"/>
    <col min="11499" max="11499" width="8.75" customWidth="1"/>
    <col min="11500" max="11500" width="11" customWidth="1"/>
    <col min="11501" max="11501" width="2.875" customWidth="1"/>
    <col min="11502" max="11502" width="77.625" customWidth="1"/>
    <col min="11503" max="11503" width="20.875" customWidth="1"/>
    <col min="11753" max="11753" width="2.875" customWidth="1"/>
    <col min="11754" max="11754" width="8.125" customWidth="1"/>
    <col min="11755" max="11755" width="8.75" customWidth="1"/>
    <col min="11756" max="11756" width="11" customWidth="1"/>
    <col min="11757" max="11757" width="2.875" customWidth="1"/>
    <col min="11758" max="11758" width="77.625" customWidth="1"/>
    <col min="11759" max="11759" width="20.875" customWidth="1"/>
    <col min="12009" max="12009" width="2.875" customWidth="1"/>
    <col min="12010" max="12010" width="8.125" customWidth="1"/>
    <col min="12011" max="12011" width="8.75" customWidth="1"/>
    <col min="12012" max="12012" width="11" customWidth="1"/>
    <col min="12013" max="12013" width="2.875" customWidth="1"/>
    <col min="12014" max="12014" width="77.625" customWidth="1"/>
    <col min="12015" max="12015" width="20.875" customWidth="1"/>
    <col min="12265" max="12265" width="2.875" customWidth="1"/>
    <col min="12266" max="12266" width="8.125" customWidth="1"/>
    <col min="12267" max="12267" width="8.75" customWidth="1"/>
    <col min="12268" max="12268" width="11" customWidth="1"/>
    <col min="12269" max="12269" width="2.875" customWidth="1"/>
    <col min="12270" max="12270" width="77.625" customWidth="1"/>
    <col min="12271" max="12271" width="20.875" customWidth="1"/>
    <col min="12521" max="12521" width="2.875" customWidth="1"/>
    <col min="12522" max="12522" width="8.125" customWidth="1"/>
    <col min="12523" max="12523" width="8.75" customWidth="1"/>
    <col min="12524" max="12524" width="11" customWidth="1"/>
    <col min="12525" max="12525" width="2.875" customWidth="1"/>
    <col min="12526" max="12526" width="77.625" customWidth="1"/>
    <col min="12527" max="12527" width="20.875" customWidth="1"/>
    <col min="12777" max="12777" width="2.875" customWidth="1"/>
    <col min="12778" max="12778" width="8.125" customWidth="1"/>
    <col min="12779" max="12779" width="8.75" customWidth="1"/>
    <col min="12780" max="12780" width="11" customWidth="1"/>
    <col min="12781" max="12781" width="2.875" customWidth="1"/>
    <col min="12782" max="12782" width="77.625" customWidth="1"/>
    <col min="12783" max="12783" width="20.875" customWidth="1"/>
    <col min="13033" max="13033" width="2.875" customWidth="1"/>
    <col min="13034" max="13034" width="8.125" customWidth="1"/>
    <col min="13035" max="13035" width="8.75" customWidth="1"/>
    <col min="13036" max="13036" width="11" customWidth="1"/>
    <col min="13037" max="13037" width="2.875" customWidth="1"/>
    <col min="13038" max="13038" width="77.625" customWidth="1"/>
    <col min="13039" max="13039" width="20.875" customWidth="1"/>
    <col min="13289" max="13289" width="2.875" customWidth="1"/>
    <col min="13290" max="13290" width="8.125" customWidth="1"/>
    <col min="13291" max="13291" width="8.75" customWidth="1"/>
    <col min="13292" max="13292" width="11" customWidth="1"/>
    <col min="13293" max="13293" width="2.875" customWidth="1"/>
    <col min="13294" max="13294" width="77.625" customWidth="1"/>
    <col min="13295" max="13295" width="20.875" customWidth="1"/>
    <col min="13545" max="13545" width="2.875" customWidth="1"/>
    <col min="13546" max="13546" width="8.125" customWidth="1"/>
    <col min="13547" max="13547" width="8.75" customWidth="1"/>
    <col min="13548" max="13548" width="11" customWidth="1"/>
    <col min="13549" max="13549" width="2.875" customWidth="1"/>
    <col min="13550" max="13550" width="77.625" customWidth="1"/>
    <col min="13551" max="13551" width="20.875" customWidth="1"/>
    <col min="13801" max="13801" width="2.875" customWidth="1"/>
    <col min="13802" max="13802" width="8.125" customWidth="1"/>
    <col min="13803" max="13803" width="8.75" customWidth="1"/>
    <col min="13804" max="13804" width="11" customWidth="1"/>
    <col min="13805" max="13805" width="2.875" customWidth="1"/>
    <col min="13806" max="13806" width="77.625" customWidth="1"/>
    <col min="13807" max="13807" width="20.875" customWidth="1"/>
    <col min="14057" max="14057" width="2.875" customWidth="1"/>
    <col min="14058" max="14058" width="8.125" customWidth="1"/>
    <col min="14059" max="14059" width="8.75" customWidth="1"/>
    <col min="14060" max="14060" width="11" customWidth="1"/>
    <col min="14061" max="14061" width="2.875" customWidth="1"/>
    <col min="14062" max="14062" width="77.625" customWidth="1"/>
    <col min="14063" max="14063" width="20.875" customWidth="1"/>
    <col min="14313" max="14313" width="2.875" customWidth="1"/>
    <col min="14314" max="14314" width="8.125" customWidth="1"/>
    <col min="14315" max="14315" width="8.75" customWidth="1"/>
    <col min="14316" max="14316" width="11" customWidth="1"/>
    <col min="14317" max="14317" width="2.875" customWidth="1"/>
    <col min="14318" max="14318" width="77.625" customWidth="1"/>
    <col min="14319" max="14319" width="20.875" customWidth="1"/>
    <col min="14569" max="14569" width="2.875" customWidth="1"/>
    <col min="14570" max="14570" width="8.125" customWidth="1"/>
    <col min="14571" max="14571" width="8.75" customWidth="1"/>
    <col min="14572" max="14572" width="11" customWidth="1"/>
    <col min="14573" max="14573" width="2.875" customWidth="1"/>
    <col min="14574" max="14574" width="77.625" customWidth="1"/>
    <col min="14575" max="14575" width="20.875" customWidth="1"/>
    <col min="14825" max="14825" width="2.875" customWidth="1"/>
    <col min="14826" max="14826" width="8.125" customWidth="1"/>
    <col min="14827" max="14827" width="8.75" customWidth="1"/>
    <col min="14828" max="14828" width="11" customWidth="1"/>
    <col min="14829" max="14829" width="2.875" customWidth="1"/>
    <col min="14830" max="14830" width="77.625" customWidth="1"/>
    <col min="14831" max="14831" width="20.875" customWidth="1"/>
    <col min="15081" max="15081" width="2.875" customWidth="1"/>
    <col min="15082" max="15082" width="8.125" customWidth="1"/>
    <col min="15083" max="15083" width="8.75" customWidth="1"/>
    <col min="15084" max="15084" width="11" customWidth="1"/>
    <col min="15085" max="15085" width="2.875" customWidth="1"/>
    <col min="15086" max="15086" width="77.625" customWidth="1"/>
    <col min="15087" max="15087" width="20.875" customWidth="1"/>
    <col min="15337" max="15337" width="2.875" customWidth="1"/>
    <col min="15338" max="15338" width="8.125" customWidth="1"/>
    <col min="15339" max="15339" width="8.75" customWidth="1"/>
    <col min="15340" max="15340" width="11" customWidth="1"/>
    <col min="15341" max="15341" width="2.875" customWidth="1"/>
    <col min="15342" max="15342" width="77.625" customWidth="1"/>
    <col min="15343" max="15343" width="20.875" customWidth="1"/>
    <col min="15593" max="15593" width="2.875" customWidth="1"/>
    <col min="15594" max="15594" width="8.125" customWidth="1"/>
    <col min="15595" max="15595" width="8.75" customWidth="1"/>
    <col min="15596" max="15596" width="11" customWidth="1"/>
    <col min="15597" max="15597" width="2.875" customWidth="1"/>
    <col min="15598" max="15598" width="77.625" customWidth="1"/>
    <col min="15599" max="15599" width="20.875" customWidth="1"/>
    <col min="15849" max="15849" width="2.875" customWidth="1"/>
    <col min="15850" max="15850" width="8.125" customWidth="1"/>
    <col min="15851" max="15851" width="8.75" customWidth="1"/>
    <col min="15852" max="15852" width="11" customWidth="1"/>
    <col min="15853" max="15853" width="2.875" customWidth="1"/>
    <col min="15854" max="15854" width="77.625" customWidth="1"/>
    <col min="15855" max="15855" width="20.875" customWidth="1"/>
    <col min="16105" max="16105" width="2.875" customWidth="1"/>
    <col min="16106" max="16106" width="8.125" customWidth="1"/>
    <col min="16107" max="16107" width="8.75" customWidth="1"/>
    <col min="16108" max="16108" width="11" customWidth="1"/>
    <col min="16109" max="16109" width="2.875" customWidth="1"/>
    <col min="16110" max="16110" width="77.625" customWidth="1"/>
    <col min="16111" max="16111" width="20.875" customWidth="1"/>
  </cols>
  <sheetData>
    <row r="1" spans="1:39" ht="22.5" customHeight="1" x14ac:dyDescent="0.4">
      <c r="A1" s="46" t="s">
        <v>93</v>
      </c>
      <c r="B1" s="47"/>
      <c r="C1" s="48"/>
      <c r="D1" s="48"/>
      <c r="E1" s="48"/>
      <c r="F1" s="47"/>
      <c r="G1" s="47"/>
      <c r="H1" s="47"/>
      <c r="I1" s="47"/>
      <c r="J1" s="47"/>
      <c r="K1" s="47"/>
      <c r="L1" s="301"/>
      <c r="M1" s="47"/>
      <c r="N1" s="47"/>
      <c r="O1" s="47"/>
      <c r="P1" s="47"/>
      <c r="Q1" s="47"/>
    </row>
    <row r="2" spans="1:39" ht="22.5" customHeight="1" x14ac:dyDescent="0.4">
      <c r="A2" s="46" t="s">
        <v>212</v>
      </c>
      <c r="B2" s="47"/>
      <c r="C2" s="48"/>
      <c r="D2" s="48"/>
      <c r="E2" s="48"/>
      <c r="F2" s="47"/>
      <c r="G2" s="47"/>
      <c r="H2" s="47"/>
      <c r="I2" s="47"/>
      <c r="J2" s="47"/>
      <c r="K2" s="47"/>
      <c r="L2" s="301"/>
      <c r="M2" s="47"/>
      <c r="N2" s="47"/>
      <c r="O2" s="47"/>
      <c r="P2" s="47"/>
      <c r="Q2" s="47"/>
    </row>
    <row r="3" spans="1:39" ht="21.75" hidden="1" customHeight="1" x14ac:dyDescent="0.4">
      <c r="A3" s="46" t="str">
        <f>'[2]August''22 State of Activities'!A3</f>
        <v>Eight Months Ended August 31, 2022 and 2021</v>
      </c>
      <c r="B3" s="47"/>
      <c r="C3" s="48"/>
      <c r="D3" s="48"/>
      <c r="E3" s="48"/>
      <c r="F3" s="47"/>
      <c r="G3" s="47"/>
      <c r="H3" s="47"/>
      <c r="I3" s="47"/>
      <c r="J3" s="47"/>
      <c r="K3" s="47"/>
      <c r="L3" s="301"/>
      <c r="M3" s="47"/>
      <c r="N3" s="47"/>
      <c r="O3" s="47"/>
      <c r="P3" s="47"/>
      <c r="Q3" s="47"/>
    </row>
    <row r="4" spans="1:39" ht="22.5" customHeight="1" x14ac:dyDescent="0.4">
      <c r="A4" s="46" t="s">
        <v>481</v>
      </c>
      <c r="B4" s="47"/>
      <c r="C4" s="48"/>
      <c r="D4" s="48"/>
      <c r="E4" s="48"/>
      <c r="F4" s="47"/>
      <c r="G4" s="47"/>
      <c r="H4" s="47"/>
      <c r="I4" s="47"/>
      <c r="J4" s="47"/>
      <c r="K4" s="47"/>
      <c r="L4" s="301"/>
      <c r="M4" s="47"/>
      <c r="N4" s="47"/>
      <c r="O4" s="47"/>
      <c r="P4" s="47"/>
      <c r="Q4" s="47"/>
    </row>
    <row r="5" spans="1:39" s="50" customFormat="1" ht="8.25" customHeight="1" thickBot="1" x14ac:dyDescent="0.25">
      <c r="A5" s="49"/>
      <c r="B5" s="49"/>
      <c r="C5" s="49"/>
      <c r="D5" s="49"/>
      <c r="E5" s="49"/>
      <c r="F5" s="49"/>
      <c r="G5" s="49"/>
      <c r="H5" s="49"/>
      <c r="I5" s="49"/>
      <c r="K5" s="269"/>
      <c r="L5" s="302"/>
      <c r="R5" s="679"/>
      <c r="W5" s="627"/>
      <c r="Y5" s="680"/>
    </row>
    <row r="6" spans="1:39" s="53" customFormat="1" ht="24.75" customHeight="1" thickTop="1" thickBot="1" x14ac:dyDescent="0.25">
      <c r="A6" s="51" t="s">
        <v>107</v>
      </c>
      <c r="B6" s="51"/>
      <c r="C6" s="51"/>
      <c r="D6" s="51"/>
      <c r="E6" s="51"/>
      <c r="F6" s="51"/>
      <c r="G6" s="51"/>
      <c r="H6" s="51"/>
      <c r="I6" s="51"/>
      <c r="J6" s="327"/>
      <c r="K6" s="681"/>
      <c r="L6" s="303"/>
      <c r="M6" s="52"/>
      <c r="N6" s="52"/>
      <c r="O6" s="52"/>
      <c r="P6" s="52"/>
      <c r="Q6" s="52"/>
      <c r="R6" s="682"/>
      <c r="S6" s="52"/>
      <c r="T6" s="52"/>
      <c r="U6" s="52"/>
      <c r="V6" s="52"/>
      <c r="W6" s="683"/>
      <c r="X6" s="52"/>
      <c r="Y6" s="684"/>
      <c r="Z6" s="52"/>
      <c r="AA6" s="52"/>
      <c r="AB6" s="52"/>
      <c r="AC6" s="52"/>
      <c r="AD6" s="52"/>
      <c r="AE6" s="52"/>
      <c r="AF6" s="52"/>
      <c r="AG6" s="52"/>
      <c r="AH6" s="52"/>
      <c r="AI6" s="52"/>
      <c r="AJ6" s="52"/>
      <c r="AK6" s="52"/>
      <c r="AL6" s="52"/>
      <c r="AM6" s="52"/>
    </row>
    <row r="7" spans="1:39" s="55" customFormat="1" ht="8.25" customHeight="1" thickTop="1" x14ac:dyDescent="0.2">
      <c r="A7" s="54"/>
      <c r="B7" s="54"/>
      <c r="C7" s="54"/>
      <c r="D7" s="54"/>
      <c r="E7" s="54"/>
      <c r="F7" s="54"/>
      <c r="G7" s="54"/>
      <c r="H7" s="54"/>
      <c r="I7" s="54"/>
      <c r="L7" s="304"/>
      <c r="R7" s="577"/>
      <c r="W7" s="627"/>
      <c r="Y7" s="684"/>
    </row>
    <row r="8" spans="1:39" ht="21" thickBot="1" x14ac:dyDescent="0.35">
      <c r="A8" s="56"/>
      <c r="B8" s="120" t="s">
        <v>99</v>
      </c>
      <c r="C8" s="120"/>
      <c r="D8" s="120"/>
      <c r="E8" s="120"/>
      <c r="F8" s="120"/>
      <c r="G8" s="542">
        <v>43465</v>
      </c>
      <c r="H8" s="542">
        <v>43830</v>
      </c>
      <c r="I8" s="542">
        <v>44196</v>
      </c>
      <c r="J8" s="542">
        <v>44561</v>
      </c>
      <c r="K8" s="542">
        <v>44926</v>
      </c>
    </row>
    <row r="9" spans="1:39" s="55" customFormat="1" ht="20.25" x14ac:dyDescent="0.2">
      <c r="A9" s="54"/>
      <c r="B9" s="54"/>
      <c r="C9" s="58" t="s">
        <v>149</v>
      </c>
      <c r="D9" s="58"/>
      <c r="E9" s="58"/>
      <c r="F9" s="54"/>
      <c r="G9" s="202">
        <f>153461+3123</f>
        <v>156584</v>
      </c>
      <c r="H9" s="202">
        <v>158721</v>
      </c>
      <c r="I9" s="202">
        <f>68070.06</f>
        <v>68070.06</v>
      </c>
      <c r="J9" s="202">
        <v>85646.89</v>
      </c>
      <c r="K9" s="202">
        <f>57601.72+8000*2+14508</f>
        <v>88109.72</v>
      </c>
      <c r="L9" s="304"/>
      <c r="R9" s="577"/>
      <c r="W9" s="627"/>
      <c r="Y9" s="684"/>
    </row>
    <row r="10" spans="1:39" s="55" customFormat="1" ht="20.25" x14ac:dyDescent="0.2">
      <c r="A10" s="54"/>
      <c r="B10" s="54"/>
      <c r="C10" s="58" t="s">
        <v>213</v>
      </c>
      <c r="D10" s="58"/>
      <c r="E10" s="58"/>
      <c r="F10" s="54"/>
      <c r="G10" s="193">
        <v>20332</v>
      </c>
      <c r="H10" s="193">
        <v>12278.42</v>
      </c>
      <c r="I10" s="193">
        <v>16169.1</v>
      </c>
      <c r="J10" s="193">
        <v>34505.879999999997</v>
      </c>
      <c r="K10" s="193">
        <v>13825</v>
      </c>
      <c r="L10" s="304"/>
      <c r="R10" s="577"/>
      <c r="W10" s="627"/>
      <c r="Y10" s="684"/>
    </row>
    <row r="11" spans="1:39" s="55" customFormat="1" ht="20.25" x14ac:dyDescent="0.2">
      <c r="A11" s="54"/>
      <c r="B11" s="54"/>
      <c r="C11" s="58" t="s">
        <v>387</v>
      </c>
      <c r="D11" s="58"/>
      <c r="E11" s="58"/>
      <c r="F11" s="54"/>
      <c r="G11" s="193"/>
      <c r="H11" s="193">
        <v>10616</v>
      </c>
      <c r="I11" s="193">
        <v>3260</v>
      </c>
      <c r="J11" s="193">
        <v>0</v>
      </c>
      <c r="K11" s="193">
        <f>29668+15301</f>
        <v>44969</v>
      </c>
      <c r="L11" s="304"/>
      <c r="R11" s="577"/>
      <c r="W11" s="627"/>
      <c r="Y11" s="684"/>
    </row>
    <row r="12" spans="1:39" s="55" customFormat="1" ht="20.25" x14ac:dyDescent="0.2">
      <c r="A12" s="54"/>
      <c r="B12" s="54"/>
      <c r="C12" s="58" t="s">
        <v>101</v>
      </c>
      <c r="D12" s="58"/>
      <c r="E12" s="58"/>
      <c r="F12" s="54"/>
      <c r="G12" s="193"/>
      <c r="H12" s="193"/>
      <c r="I12" s="193"/>
      <c r="J12" s="193"/>
      <c r="K12" s="193"/>
      <c r="L12" s="304"/>
      <c r="R12" s="577"/>
      <c r="W12" s="627"/>
      <c r="Y12" s="684"/>
    </row>
    <row r="13" spans="1:39" s="55" customFormat="1" ht="20.25" x14ac:dyDescent="0.2">
      <c r="A13" s="54"/>
      <c r="B13" s="54"/>
      <c r="D13" s="58" t="s">
        <v>214</v>
      </c>
      <c r="E13" s="58"/>
      <c r="F13" s="54"/>
      <c r="G13" s="193">
        <v>42500</v>
      </c>
      <c r="H13" s="193">
        <v>44499.96</v>
      </c>
      <c r="I13" s="193">
        <f>3750*12</f>
        <v>45000</v>
      </c>
      <c r="J13" s="193">
        <v>45500</v>
      </c>
      <c r="K13" s="193">
        <v>46000</v>
      </c>
      <c r="L13" s="685"/>
      <c r="M13" s="385"/>
      <c r="N13" s="385"/>
      <c r="O13" s="385"/>
      <c r="P13" s="385"/>
      <c r="R13" s="577"/>
      <c r="W13" s="627"/>
      <c r="Y13" s="684"/>
    </row>
    <row r="14" spans="1:39" s="55" customFormat="1" ht="20.25" x14ac:dyDescent="0.2">
      <c r="A14" s="54"/>
      <c r="B14" s="54"/>
      <c r="D14" s="58" t="s">
        <v>158</v>
      </c>
      <c r="E14" s="58"/>
      <c r="F14" s="54"/>
      <c r="G14" s="193">
        <v>9000</v>
      </c>
      <c r="H14" s="193">
        <v>13000</v>
      </c>
      <c r="I14" s="193">
        <v>18000</v>
      </c>
      <c r="J14" s="193">
        <v>18000</v>
      </c>
      <c r="K14" s="193">
        <v>18000</v>
      </c>
      <c r="L14" s="304"/>
      <c r="M14" s="387"/>
      <c r="N14" s="387"/>
      <c r="O14" s="387"/>
      <c r="P14" s="58"/>
      <c r="R14" s="577"/>
      <c r="W14" s="627"/>
      <c r="Y14" s="684"/>
    </row>
    <row r="15" spans="1:39" s="55" customFormat="1" ht="20.25" x14ac:dyDescent="0.2">
      <c r="A15" s="54"/>
      <c r="B15" s="54"/>
      <c r="C15" s="58" t="s">
        <v>102</v>
      </c>
      <c r="D15" s="58"/>
      <c r="E15" s="58"/>
      <c r="F15" s="54"/>
      <c r="G15" s="193">
        <v>12796</v>
      </c>
      <c r="H15" s="193">
        <v>13071.46</v>
      </c>
      <c r="I15" s="193">
        <v>12695.06</v>
      </c>
      <c r="J15" s="193">
        <v>17445.740000000002</v>
      </c>
      <c r="K15" s="193">
        <v>17500</v>
      </c>
      <c r="L15" s="304"/>
      <c r="M15" s="387"/>
      <c r="N15" s="387"/>
      <c r="O15" s="387"/>
      <c r="P15" s="304"/>
      <c r="R15" s="577"/>
      <c r="W15" s="627"/>
      <c r="Y15" s="684"/>
    </row>
    <row r="16" spans="1:39" s="55" customFormat="1" ht="20.25" x14ac:dyDescent="0.2">
      <c r="A16" s="54"/>
      <c r="B16" s="54"/>
      <c r="C16" s="58" t="s">
        <v>482</v>
      </c>
      <c r="D16" s="58"/>
      <c r="E16" s="58"/>
      <c r="F16" s="54"/>
      <c r="G16" s="193">
        <f>25000</f>
        <v>25000</v>
      </c>
      <c r="H16" s="193">
        <v>71886</v>
      </c>
      <c r="I16" s="193">
        <v>77911.459999999992</v>
      </c>
      <c r="J16" s="193">
        <v>80378.48</v>
      </c>
      <c r="K16" s="193">
        <v>34118</v>
      </c>
      <c r="L16" s="304"/>
      <c r="M16" s="387"/>
      <c r="N16" s="387"/>
      <c r="O16" s="387"/>
      <c r="P16" s="304"/>
      <c r="R16" s="577"/>
      <c r="W16" s="627"/>
      <c r="Y16" s="684"/>
    </row>
    <row r="17" spans="1:25" s="55" customFormat="1" ht="20.25" x14ac:dyDescent="0.2">
      <c r="A17" s="54"/>
      <c r="B17" s="54"/>
      <c r="C17" s="58" t="s">
        <v>348</v>
      </c>
      <c r="D17" s="58"/>
      <c r="E17" s="58"/>
      <c r="F17" s="54"/>
      <c r="G17" s="193">
        <f>659</f>
        <v>659</v>
      </c>
      <c r="H17" s="193">
        <v>7946</v>
      </c>
      <c r="I17" s="193">
        <v>255.74</v>
      </c>
      <c r="J17" s="193">
        <v>3312.47</v>
      </c>
      <c r="K17" s="193">
        <v>180</v>
      </c>
      <c r="L17" s="304"/>
      <c r="M17" s="387"/>
      <c r="N17" s="387"/>
      <c r="O17" s="387"/>
      <c r="P17" s="304"/>
      <c r="R17" s="577"/>
      <c r="W17" s="627"/>
      <c r="Y17" s="684"/>
    </row>
    <row r="18" spans="1:25" s="55" customFormat="1" ht="21" thickBot="1" x14ac:dyDescent="0.25">
      <c r="A18" s="54"/>
      <c r="B18" s="54"/>
      <c r="C18" s="58" t="s">
        <v>216</v>
      </c>
      <c r="D18" s="58"/>
      <c r="E18" s="58"/>
      <c r="F18" s="54"/>
      <c r="G18" s="200">
        <v>9315</v>
      </c>
      <c r="H18" s="200">
        <v>9315</v>
      </c>
      <c r="I18" s="200">
        <v>9315</v>
      </c>
      <c r="J18" s="200">
        <v>10548</v>
      </c>
      <c r="K18" s="200">
        <v>10548</v>
      </c>
      <c r="L18" s="304"/>
      <c r="W18" s="627"/>
      <c r="Y18" s="684"/>
    </row>
    <row r="19" spans="1:25" s="55" customFormat="1" ht="20.25" x14ac:dyDescent="0.2">
      <c r="A19" s="54"/>
      <c r="B19" s="54"/>
      <c r="C19" s="58"/>
      <c r="D19" s="54" t="s">
        <v>104</v>
      </c>
      <c r="E19" s="58"/>
      <c r="F19" s="54"/>
      <c r="G19" s="193">
        <f>SUM(G9:G18)</f>
        <v>276186</v>
      </c>
      <c r="H19" s="193">
        <f>SUM(H9:H18)</f>
        <v>341333.83999999997</v>
      </c>
      <c r="I19" s="193">
        <f>SUM(I9:I18)</f>
        <v>250676.41999999998</v>
      </c>
      <c r="J19" s="193">
        <f>SUM(J9:J18)</f>
        <v>295337.45999999996</v>
      </c>
      <c r="K19" s="193">
        <f>SUM(K9:K18)</f>
        <v>273249.71999999997</v>
      </c>
      <c r="L19" s="304"/>
      <c r="W19" s="627"/>
      <c r="Y19" s="684"/>
    </row>
    <row r="20" spans="1:25" s="55" customFormat="1" ht="20.25" x14ac:dyDescent="0.2">
      <c r="A20" s="54"/>
      <c r="B20" s="54"/>
      <c r="C20" s="54" t="s">
        <v>217</v>
      </c>
      <c r="D20" s="58"/>
      <c r="E20" s="58"/>
      <c r="F20" s="54"/>
      <c r="G20" s="193">
        <v>19000</v>
      </c>
      <c r="H20" s="193">
        <v>19000</v>
      </c>
      <c r="I20" s="193">
        <v>19000</v>
      </c>
      <c r="J20" s="193">
        <v>18500</v>
      </c>
      <c r="K20" s="193">
        <f>13333/8*12</f>
        <v>19999.5</v>
      </c>
      <c r="L20" s="304"/>
      <c r="R20" s="577"/>
      <c r="W20" s="627"/>
      <c r="Y20" s="684"/>
    </row>
    <row r="21" spans="1:25" s="55" customFormat="1" ht="21" thickBot="1" x14ac:dyDescent="0.25">
      <c r="A21" s="54"/>
      <c r="B21" s="54"/>
      <c r="C21" s="54" t="s">
        <v>218</v>
      </c>
      <c r="D21" s="58"/>
      <c r="E21" s="58"/>
      <c r="F21" s="54"/>
      <c r="G21" s="200">
        <v>37641</v>
      </c>
      <c r="H21" s="200">
        <v>37834</v>
      </c>
      <c r="I21" s="200">
        <v>34669.31</v>
      </c>
      <c r="J21" s="200">
        <v>26400.720000000001</v>
      </c>
      <c r="K21" s="200">
        <v>43300</v>
      </c>
      <c r="L21" s="304"/>
      <c r="R21" s="577"/>
      <c r="W21" s="627"/>
      <c r="Y21" s="684"/>
    </row>
    <row r="22" spans="1:25" s="55" customFormat="1" ht="20.25" x14ac:dyDescent="0.2">
      <c r="A22" s="54"/>
      <c r="B22" s="54"/>
      <c r="C22" s="58"/>
      <c r="D22" s="54" t="s">
        <v>106</v>
      </c>
      <c r="E22" s="58"/>
      <c r="F22" s="54"/>
      <c r="G22" s="193">
        <f>SUM(G19:G21)</f>
        <v>332827</v>
      </c>
      <c r="H22" s="193">
        <f>SUM(H19:H21)</f>
        <v>398167.83999999997</v>
      </c>
      <c r="I22" s="193">
        <f>SUM(I19:I21)</f>
        <v>304345.73</v>
      </c>
      <c r="J22" s="193">
        <f>SUM(J19:J21)</f>
        <v>340238.17999999993</v>
      </c>
      <c r="K22" s="193">
        <f>SUM(K19:K21)</f>
        <v>336549.22</v>
      </c>
      <c r="L22" s="304"/>
      <c r="R22" s="577"/>
      <c r="W22" s="627"/>
      <c r="Y22" s="684"/>
    </row>
    <row r="23" spans="1:25" s="55" customFormat="1" ht="20.25" x14ac:dyDescent="0.2">
      <c r="A23" s="54"/>
      <c r="B23" s="54"/>
      <c r="C23" s="58"/>
      <c r="D23" s="54"/>
      <c r="E23" s="58"/>
      <c r="F23" s="54" t="s">
        <v>483</v>
      </c>
      <c r="G23" s="193"/>
      <c r="H23" s="193">
        <v>-46886</v>
      </c>
      <c r="I23" s="193"/>
      <c r="J23" s="193"/>
      <c r="K23" s="193"/>
      <c r="L23" s="304"/>
      <c r="R23" s="577"/>
      <c r="W23" s="627"/>
      <c r="Y23" s="684"/>
    </row>
    <row r="24" spans="1:25" s="55" customFormat="1" ht="20.25" x14ac:dyDescent="0.2">
      <c r="A24" s="54"/>
      <c r="B24" s="54"/>
      <c r="C24" s="58"/>
      <c r="D24" s="54" t="s">
        <v>484</v>
      </c>
      <c r="E24" s="58"/>
      <c r="F24" s="54"/>
      <c r="G24" s="193"/>
      <c r="H24" s="193">
        <f>SUM(H22:H23)</f>
        <v>351281.83999999997</v>
      </c>
      <c r="I24" s="193"/>
      <c r="J24" s="193"/>
      <c r="K24" s="193"/>
      <c r="L24" s="304"/>
      <c r="R24" s="577"/>
      <c r="W24" s="627"/>
      <c r="Y24" s="684"/>
    </row>
    <row r="25" spans="1:25" s="55" customFormat="1" ht="20.25" x14ac:dyDescent="0.2">
      <c r="A25" s="54"/>
      <c r="B25" s="54"/>
      <c r="C25" s="58"/>
      <c r="D25" s="54"/>
      <c r="E25" s="58"/>
      <c r="F25" s="54"/>
      <c r="G25" s="54"/>
      <c r="H25" s="54"/>
      <c r="I25" s="54"/>
      <c r="J25" s="480"/>
      <c r="K25" s="480"/>
      <c r="L25" s="304"/>
      <c r="R25" s="577"/>
      <c r="W25" s="627"/>
      <c r="Y25" s="684"/>
    </row>
    <row r="26" spans="1:25" s="55" customFormat="1" ht="21" thickBot="1" x14ac:dyDescent="0.25">
      <c r="A26" s="54"/>
      <c r="B26" s="66" t="s">
        <v>110</v>
      </c>
      <c r="C26" s="66"/>
      <c r="D26" s="66"/>
      <c r="E26" s="66"/>
      <c r="F26" s="66"/>
      <c r="G26" s="54"/>
      <c r="H26" s="54"/>
      <c r="I26" s="54"/>
      <c r="L26" s="304"/>
      <c r="R26" s="577"/>
      <c r="W26" s="627"/>
      <c r="Y26" s="684"/>
    </row>
    <row r="27" spans="1:25" s="55" customFormat="1" ht="20.25" x14ac:dyDescent="0.2">
      <c r="A27" s="54"/>
      <c r="B27" s="54"/>
      <c r="C27" s="58" t="s">
        <v>219</v>
      </c>
      <c r="D27" s="58"/>
      <c r="E27" s="58"/>
      <c r="F27" s="58"/>
      <c r="G27" s="58"/>
      <c r="H27" s="58"/>
      <c r="I27" s="58"/>
      <c r="J27" s="225"/>
      <c r="K27" s="225"/>
      <c r="L27" s="304"/>
      <c r="R27" s="577"/>
      <c r="W27" s="627"/>
      <c r="Y27" s="684"/>
    </row>
    <row r="28" spans="1:25" s="55" customFormat="1" ht="20.25" x14ac:dyDescent="0.2">
      <c r="A28" s="54"/>
      <c r="B28" s="54"/>
      <c r="C28" s="58"/>
      <c r="D28" s="789" t="s">
        <v>220</v>
      </c>
      <c r="E28" s="789"/>
      <c r="F28" s="789"/>
      <c r="G28" s="661">
        <v>146508</v>
      </c>
      <c r="H28" s="661">
        <v>162253.75</v>
      </c>
      <c r="I28" s="661">
        <v>133830.65</v>
      </c>
      <c r="J28" s="661">
        <v>155035.70000000001</v>
      </c>
      <c r="K28" s="661">
        <v>203000</v>
      </c>
      <c r="L28" s="304" t="s">
        <v>485</v>
      </c>
      <c r="R28" s="577"/>
      <c r="W28" s="627"/>
      <c r="Y28" s="684"/>
    </row>
    <row r="29" spans="1:25" s="55" customFormat="1" ht="20.25" x14ac:dyDescent="0.2">
      <c r="A29" s="54"/>
      <c r="B29" s="54"/>
      <c r="C29" s="58"/>
      <c r="D29" s="789" t="s">
        <v>221</v>
      </c>
      <c r="E29" s="789"/>
      <c r="F29" s="789"/>
      <c r="G29" s="193">
        <v>59928</v>
      </c>
      <c r="H29" s="193">
        <f>37966.12+23862.63+605.03+106.59</f>
        <v>62540.369999999995</v>
      </c>
      <c r="I29" s="193">
        <f>44061.17+21220.39</f>
        <v>65281.56</v>
      </c>
      <c r="J29" s="193">
        <f>43631.85+27917.65</f>
        <v>71549.5</v>
      </c>
      <c r="K29" s="193">
        <f>49205+29027</f>
        <v>78232</v>
      </c>
      <c r="L29" s="304"/>
      <c r="M29" s="285"/>
      <c r="R29" s="577"/>
      <c r="W29" s="627"/>
      <c r="Y29" s="684"/>
    </row>
    <row r="30" spans="1:25" s="55" customFormat="1" ht="20.25" x14ac:dyDescent="0.2">
      <c r="A30" s="54"/>
      <c r="B30" s="54"/>
      <c r="C30" s="58"/>
      <c r="D30" s="789" t="s">
        <v>112</v>
      </c>
      <c r="E30" s="789"/>
      <c r="F30" s="789"/>
      <c r="G30" s="193">
        <v>39636</v>
      </c>
      <c r="H30" s="193">
        <v>42279.58</v>
      </c>
      <c r="I30" s="193">
        <v>36601</v>
      </c>
      <c r="J30" s="193">
        <f>J28*0.213+J29*0.14</f>
        <v>43039.534100000004</v>
      </c>
      <c r="K30" s="193">
        <f>K28*0.213+K29*0.14</f>
        <v>54191.48</v>
      </c>
      <c r="L30" s="304"/>
      <c r="M30" s="285"/>
      <c r="N30" s="285"/>
      <c r="P30" s="285"/>
      <c r="R30" s="577"/>
      <c r="W30" s="627"/>
      <c r="Y30" s="684"/>
    </row>
    <row r="31" spans="1:25" s="55" customFormat="1" ht="20.25" x14ac:dyDescent="0.2">
      <c r="A31" s="54"/>
      <c r="B31" s="54"/>
      <c r="C31" s="58" t="s">
        <v>277</v>
      </c>
      <c r="D31" s="58"/>
      <c r="E31" s="58"/>
      <c r="F31" s="58"/>
      <c r="G31" s="611"/>
      <c r="H31" s="611"/>
      <c r="I31" s="611"/>
      <c r="J31" s="611"/>
      <c r="K31" s="611"/>
      <c r="L31" s="304"/>
      <c r="R31" s="577"/>
      <c r="W31" s="627"/>
      <c r="Y31" s="684"/>
    </row>
    <row r="32" spans="1:25" s="55" customFormat="1" ht="20.25" x14ac:dyDescent="0.2">
      <c r="A32" s="54"/>
      <c r="B32" s="54"/>
      <c r="C32" s="58"/>
      <c r="D32" s="789" t="s">
        <v>222</v>
      </c>
      <c r="E32" s="789"/>
      <c r="F32" s="789"/>
      <c r="G32" s="661">
        <v>27184</v>
      </c>
      <c r="H32" s="661">
        <v>25472.83</v>
      </c>
      <c r="I32" s="661">
        <v>15135.29</v>
      </c>
      <c r="J32" s="661">
        <v>25112.19</v>
      </c>
      <c r="K32" s="661">
        <v>38000</v>
      </c>
      <c r="L32" s="304" t="s">
        <v>485</v>
      </c>
      <c r="R32" s="577"/>
      <c r="W32" s="627"/>
      <c r="Y32" s="684"/>
    </row>
    <row r="33" spans="1:25" s="55" customFormat="1" ht="20.25" x14ac:dyDescent="0.2">
      <c r="A33" s="54"/>
      <c r="B33" s="54"/>
      <c r="C33" s="58"/>
      <c r="D33" s="789" t="s">
        <v>223</v>
      </c>
      <c r="E33" s="789"/>
      <c r="F33" s="789"/>
      <c r="G33" s="193">
        <v>15511</v>
      </c>
      <c r="H33" s="193">
        <v>17989.87</v>
      </c>
      <c r="I33" s="193">
        <v>22636.98</v>
      </c>
      <c r="J33" s="193">
        <v>23957.25</v>
      </c>
      <c r="K33" s="193">
        <f>24654.76+600</f>
        <v>25254.76</v>
      </c>
      <c r="L33" s="304"/>
      <c r="R33" s="577"/>
      <c r="W33" s="627"/>
      <c r="Y33" s="684"/>
    </row>
    <row r="34" spans="1:25" s="55" customFormat="1" ht="20.25" x14ac:dyDescent="0.2">
      <c r="A34" s="54"/>
      <c r="B34" s="54"/>
      <c r="C34" s="58"/>
      <c r="D34" s="789" t="s">
        <v>303</v>
      </c>
      <c r="E34" s="789"/>
      <c r="F34" s="789"/>
      <c r="G34" s="661">
        <v>12450</v>
      </c>
      <c r="H34" s="661">
        <v>16090.9</v>
      </c>
      <c r="I34" s="661">
        <v>11030.88</v>
      </c>
      <c r="J34" s="661">
        <v>19504.66</v>
      </c>
      <c r="K34" s="661">
        <v>8800</v>
      </c>
      <c r="L34" s="304" t="s">
        <v>485</v>
      </c>
      <c r="R34" s="577"/>
      <c r="W34" s="627"/>
      <c r="Y34" s="684"/>
    </row>
    <row r="35" spans="1:25" s="55" customFormat="1" ht="20.25" x14ac:dyDescent="0.2">
      <c r="A35" s="54"/>
      <c r="B35" s="54"/>
      <c r="C35" s="58"/>
      <c r="D35" s="789" t="s">
        <v>224</v>
      </c>
      <c r="E35" s="789"/>
      <c r="F35" s="789"/>
      <c r="G35" s="193">
        <v>377</v>
      </c>
      <c r="H35" s="193">
        <v>1427.75</v>
      </c>
      <c r="I35" s="193">
        <v>397</v>
      </c>
      <c r="J35" s="193">
        <v>663</v>
      </c>
      <c r="K35" s="193">
        <v>750</v>
      </c>
      <c r="L35" s="304"/>
      <c r="R35" s="577"/>
      <c r="W35" s="627"/>
      <c r="Y35" s="684"/>
    </row>
    <row r="36" spans="1:25" s="55" customFormat="1" ht="20.25" x14ac:dyDescent="0.2">
      <c r="A36" s="54"/>
      <c r="B36" s="54"/>
      <c r="C36" s="58" t="s">
        <v>466</v>
      </c>
      <c r="D36" s="58"/>
      <c r="E36" s="58"/>
      <c r="F36" s="58"/>
      <c r="G36" s="193">
        <v>25080</v>
      </c>
      <c r="H36" s="193">
        <f>22438.68+1591</f>
        <v>24029.68</v>
      </c>
      <c r="I36" s="193">
        <f>29909+1860</f>
        <v>31769</v>
      </c>
      <c r="J36" s="193">
        <f>1903+28481</f>
        <v>30384</v>
      </c>
      <c r="K36" s="193">
        <f>20556/8*12</f>
        <v>30834</v>
      </c>
      <c r="L36" s="304"/>
      <c r="R36" s="577"/>
      <c r="W36" s="627"/>
      <c r="Y36" s="684"/>
    </row>
    <row r="37" spans="1:25" s="55" customFormat="1" ht="20.25" x14ac:dyDescent="0.2">
      <c r="A37" s="54"/>
      <c r="B37" s="54"/>
      <c r="C37" s="58" t="s">
        <v>103</v>
      </c>
      <c r="D37" s="58"/>
      <c r="E37" s="58"/>
      <c r="F37" s="58"/>
      <c r="G37" s="193">
        <f>G18</f>
        <v>9315</v>
      </c>
      <c r="H37" s="193">
        <f>H18</f>
        <v>9315</v>
      </c>
      <c r="I37" s="193">
        <f>I18</f>
        <v>9315</v>
      </c>
      <c r="J37" s="193">
        <f>J18</f>
        <v>10548</v>
      </c>
      <c r="K37" s="193">
        <f>K18</f>
        <v>10548</v>
      </c>
      <c r="L37" s="304"/>
      <c r="R37" s="577"/>
      <c r="W37" s="627"/>
      <c r="Y37" s="684"/>
    </row>
    <row r="38" spans="1:25" s="55" customFormat="1" ht="20.25" x14ac:dyDescent="0.2">
      <c r="A38" s="54"/>
      <c r="B38" s="54"/>
      <c r="C38" s="58" t="s">
        <v>312</v>
      </c>
      <c r="D38" s="58"/>
      <c r="E38" s="58"/>
      <c r="F38" s="58"/>
      <c r="G38" s="193">
        <v>4075</v>
      </c>
      <c r="H38" s="193">
        <v>4497</v>
      </c>
      <c r="I38" s="193">
        <v>4682.25</v>
      </c>
      <c r="J38" s="193">
        <v>4231.88</v>
      </c>
      <c r="K38" s="193">
        <f>3948.9+400+400</f>
        <v>4748.8999999999996</v>
      </c>
      <c r="L38" s="304"/>
      <c r="R38" s="577"/>
      <c r="W38" s="627"/>
      <c r="Y38" s="684"/>
    </row>
    <row r="39" spans="1:25" s="55" customFormat="1" ht="20.25" x14ac:dyDescent="0.2">
      <c r="A39" s="54"/>
      <c r="B39" s="54"/>
      <c r="C39" s="58" t="s">
        <v>226</v>
      </c>
      <c r="D39" s="58"/>
      <c r="E39" s="58"/>
      <c r="F39" s="58"/>
      <c r="G39" s="193">
        <v>1496</v>
      </c>
      <c r="H39" s="193">
        <f>75+874</f>
        <v>949</v>
      </c>
      <c r="I39" s="193">
        <v>982</v>
      </c>
      <c r="J39" s="193">
        <f>99+937</f>
        <v>1036</v>
      </c>
      <c r="K39" s="193">
        <v>1314</v>
      </c>
      <c r="L39" s="304"/>
      <c r="R39" s="577"/>
      <c r="W39" s="627"/>
      <c r="Y39" s="684"/>
    </row>
    <row r="40" spans="1:25" s="55" customFormat="1" ht="20.25" x14ac:dyDescent="0.2">
      <c r="A40" s="54"/>
      <c r="B40" s="54"/>
      <c r="C40" s="58" t="s">
        <v>380</v>
      </c>
      <c r="D40" s="58"/>
      <c r="E40" s="58"/>
      <c r="F40" s="58"/>
      <c r="G40" s="193">
        <v>3430</v>
      </c>
      <c r="H40" s="193">
        <v>4436.1400000000003</v>
      </c>
      <c r="I40" s="193">
        <v>7774.44</v>
      </c>
      <c r="J40" s="193">
        <f>7884.62+184.74</f>
        <v>8069.36</v>
      </c>
      <c r="K40" s="193">
        <v>8600</v>
      </c>
      <c r="L40" s="304"/>
      <c r="R40" s="577"/>
      <c r="W40" s="627"/>
      <c r="Y40" s="684"/>
    </row>
    <row r="41" spans="1:25" s="55" customFormat="1" ht="20.25" x14ac:dyDescent="0.2">
      <c r="A41" s="54"/>
      <c r="B41" s="54"/>
      <c r="C41" s="58" t="s">
        <v>227</v>
      </c>
      <c r="D41" s="58"/>
      <c r="E41" s="58"/>
      <c r="F41" s="58"/>
      <c r="G41" s="193">
        <v>459</v>
      </c>
      <c r="H41" s="193">
        <f>223.01+568.51</f>
        <v>791.52</v>
      </c>
      <c r="I41" s="193">
        <v>636.94000000000005</v>
      </c>
      <c r="J41" s="193">
        <f>958.23+28.31+10.3+36.4+4907.37</f>
        <v>5940.61</v>
      </c>
      <c r="K41" s="193">
        <v>1811</v>
      </c>
      <c r="L41" s="304"/>
      <c r="R41" s="577"/>
      <c r="W41" s="627"/>
      <c r="Y41" s="684"/>
    </row>
    <row r="42" spans="1:25" s="55" customFormat="1" ht="20.25" x14ac:dyDescent="0.2">
      <c r="A42" s="54"/>
      <c r="B42" s="54"/>
      <c r="C42" s="58" t="s">
        <v>121</v>
      </c>
      <c r="D42" s="58"/>
      <c r="E42" s="58"/>
      <c r="F42" s="58"/>
      <c r="G42" s="193">
        <v>1041</v>
      </c>
      <c r="H42" s="193">
        <v>1826.56</v>
      </c>
      <c r="I42" s="193">
        <v>2528.2399999999998</v>
      </c>
      <c r="J42" s="193">
        <v>3426.72</v>
      </c>
      <c r="K42" s="193">
        <f>235.23+4801.81</f>
        <v>5037.04</v>
      </c>
      <c r="L42" s="304"/>
      <c r="R42" s="577"/>
      <c r="W42" s="627"/>
      <c r="Y42" s="684"/>
    </row>
    <row r="43" spans="1:25" s="55" customFormat="1" ht="20.25" x14ac:dyDescent="0.2">
      <c r="A43" s="54"/>
      <c r="B43" s="54"/>
      <c r="C43" s="58" t="s">
        <v>119</v>
      </c>
      <c r="D43" s="58"/>
      <c r="E43" s="58"/>
      <c r="F43" s="58"/>
      <c r="G43" s="193">
        <v>436</v>
      </c>
      <c r="H43" s="193">
        <v>396.82</v>
      </c>
      <c r="I43" s="193">
        <v>385.18</v>
      </c>
      <c r="J43" s="193">
        <v>420.52</v>
      </c>
      <c r="K43" s="193">
        <f>421/10*12+125</f>
        <v>630.20000000000005</v>
      </c>
      <c r="L43" s="304"/>
      <c r="R43" s="577"/>
      <c r="W43" s="627"/>
      <c r="Y43" s="684"/>
    </row>
    <row r="44" spans="1:25" s="55" customFormat="1" ht="20.25" hidden="1" x14ac:dyDescent="0.2">
      <c r="A44" s="54"/>
      <c r="B44" s="54"/>
      <c r="C44" s="58" t="s">
        <v>228</v>
      </c>
      <c r="D44" s="58"/>
      <c r="E44" s="58"/>
      <c r="F44" s="58"/>
      <c r="G44" s="193"/>
      <c r="H44" s="193"/>
      <c r="I44" s="193"/>
      <c r="J44" s="193"/>
      <c r="K44" s="193"/>
      <c r="L44" s="304"/>
      <c r="R44" s="577"/>
      <c r="W44" s="627"/>
      <c r="Y44" s="684"/>
    </row>
    <row r="45" spans="1:25" s="55" customFormat="1" ht="20.25" x14ac:dyDescent="0.2">
      <c r="A45" s="58"/>
      <c r="B45" s="58"/>
      <c r="C45" s="58" t="s">
        <v>115</v>
      </c>
      <c r="D45" s="58"/>
      <c r="E45" s="58"/>
      <c r="F45" s="58"/>
      <c r="G45" s="193">
        <v>205</v>
      </c>
      <c r="H45" s="193">
        <v>422.62</v>
      </c>
      <c r="I45" s="193">
        <v>265.58</v>
      </c>
      <c r="J45" s="193">
        <v>225.92</v>
      </c>
      <c r="K45" s="193">
        <f>226/8*12</f>
        <v>339</v>
      </c>
      <c r="L45" s="304"/>
      <c r="R45" s="577"/>
      <c r="W45" s="627"/>
      <c r="Y45" s="684"/>
    </row>
    <row r="46" spans="1:25" s="55" customFormat="1" ht="20.25" x14ac:dyDescent="0.2">
      <c r="A46" s="58"/>
      <c r="B46" s="58"/>
      <c r="C46" s="58" t="s">
        <v>229</v>
      </c>
      <c r="D46" s="58"/>
      <c r="E46" s="58"/>
      <c r="F46" s="58"/>
      <c r="G46" s="195">
        <v>542</v>
      </c>
      <c r="H46" s="195">
        <f>248.22+18.56+28.25+5</f>
        <v>300.02999999999997</v>
      </c>
      <c r="I46" s="195">
        <v>938.98</v>
      </c>
      <c r="J46" s="195">
        <f>292.24+4514.12-J38+84.23</f>
        <v>658.70999999999958</v>
      </c>
      <c r="K46" s="195">
        <v>225</v>
      </c>
      <c r="L46" s="304"/>
      <c r="R46" s="577"/>
      <c r="W46" s="627"/>
      <c r="Y46" s="684"/>
    </row>
    <row r="47" spans="1:25" s="55" customFormat="1" ht="21" thickBot="1" x14ac:dyDescent="0.25">
      <c r="A47" s="54"/>
      <c r="B47" s="54"/>
      <c r="C47" s="54"/>
      <c r="D47" s="54" t="s">
        <v>127</v>
      </c>
      <c r="E47" s="54"/>
      <c r="F47" s="54"/>
      <c r="G47" s="382">
        <f>SUM(G28:G46)</f>
        <v>347673</v>
      </c>
      <c r="H47" s="382">
        <f>SUM(H28:H46)</f>
        <v>375019.4200000001</v>
      </c>
      <c r="I47" s="382">
        <f>SUM(I28:I46)</f>
        <v>344190.97</v>
      </c>
      <c r="J47" s="382">
        <f>SUM(J28:J46)</f>
        <v>403803.55409999995</v>
      </c>
      <c r="K47" s="382">
        <f>SUM(K28:K46)</f>
        <v>472315.38</v>
      </c>
      <c r="L47" s="304"/>
      <c r="R47" s="577"/>
      <c r="W47" s="627"/>
      <c r="Y47" s="684"/>
    </row>
    <row r="48" spans="1:25" s="55" customFormat="1" ht="21" thickBot="1" x14ac:dyDescent="0.25">
      <c r="A48" s="54"/>
      <c r="B48" s="54"/>
      <c r="C48" s="54"/>
      <c r="D48" s="54" t="s">
        <v>128</v>
      </c>
      <c r="E48" s="54"/>
      <c r="F48" s="54"/>
      <c r="G48" s="383">
        <f>G22-G47</f>
        <v>-14846</v>
      </c>
      <c r="H48" s="383">
        <f>H22-H47</f>
        <v>23148.419999999867</v>
      </c>
      <c r="I48" s="383">
        <f>I22-I47</f>
        <v>-39845.239999999991</v>
      </c>
      <c r="J48" s="383">
        <f>J22-J47</f>
        <v>-63565.374100000015</v>
      </c>
      <c r="K48" s="383">
        <f>K22-K47</f>
        <v>-135766.16000000003</v>
      </c>
      <c r="L48" s="304"/>
      <c r="R48" s="577"/>
      <c r="W48" s="627"/>
      <c r="Y48" s="684"/>
    </row>
    <row r="49" spans="1:25" s="55" customFormat="1" ht="20.25" x14ac:dyDescent="0.2">
      <c r="A49" s="54"/>
      <c r="B49" s="54"/>
      <c r="C49" s="54"/>
      <c r="D49" s="54"/>
      <c r="E49" s="54"/>
      <c r="F49" s="54"/>
      <c r="G49" s="54"/>
      <c r="H49" s="54"/>
      <c r="I49" s="193"/>
      <c r="J49" s="193"/>
      <c r="K49" s="193"/>
      <c r="L49" s="304"/>
      <c r="R49" s="577"/>
      <c r="W49" s="627"/>
      <c r="Y49" s="684"/>
    </row>
    <row r="50" spans="1:25" s="52" customFormat="1" ht="26.25" x14ac:dyDescent="0.2">
      <c r="A50" s="219"/>
      <c r="B50" s="219"/>
      <c r="C50" s="58" t="s">
        <v>264</v>
      </c>
      <c r="E50" s="58"/>
      <c r="F50" s="58"/>
      <c r="G50" s="686"/>
      <c r="H50" s="686">
        <f>-69500</f>
        <v>-69500</v>
      </c>
      <c r="I50" s="58"/>
      <c r="J50" s="193"/>
      <c r="K50" s="193"/>
      <c r="L50" s="303"/>
      <c r="R50" s="682"/>
      <c r="W50" s="683"/>
      <c r="Y50" s="684"/>
    </row>
    <row r="51" spans="1:25" s="55" customFormat="1" ht="20.25" x14ac:dyDescent="0.2">
      <c r="A51" s="54"/>
      <c r="B51" s="54"/>
      <c r="C51" s="58" t="s">
        <v>448</v>
      </c>
      <c r="E51" s="54"/>
      <c r="G51" s="193">
        <f>G36</f>
        <v>25080</v>
      </c>
      <c r="H51" s="193">
        <f>H36</f>
        <v>24029.68</v>
      </c>
      <c r="I51" s="193">
        <f>I36</f>
        <v>31769</v>
      </c>
      <c r="J51" s="193">
        <f>J36</f>
        <v>30384</v>
      </c>
      <c r="K51" s="193">
        <f>K36</f>
        <v>30834</v>
      </c>
      <c r="L51" s="304"/>
      <c r="R51" s="577"/>
      <c r="W51" s="627"/>
      <c r="Y51" s="684"/>
    </row>
    <row r="52" spans="1:25" s="55" customFormat="1" ht="24" thickBot="1" x14ac:dyDescent="0.25">
      <c r="A52" s="54"/>
      <c r="B52" s="222"/>
      <c r="C52" s="54"/>
      <c r="D52" s="792" t="s">
        <v>231</v>
      </c>
      <c r="E52" s="792"/>
      <c r="F52" s="792"/>
      <c r="G52" s="384">
        <f>G48+G50+G51</f>
        <v>10234</v>
      </c>
      <c r="H52" s="384">
        <f>H48+H50+H51</f>
        <v>-22321.900000000132</v>
      </c>
      <c r="I52" s="384">
        <f>I48+I50+I51</f>
        <v>-8076.2399999999907</v>
      </c>
      <c r="J52" s="384">
        <f>J48+J50+J51</f>
        <v>-33181.374100000015</v>
      </c>
      <c r="K52" s="384">
        <f>K48+K50+K51</f>
        <v>-104932.16000000003</v>
      </c>
      <c r="L52" s="304"/>
      <c r="R52" s="577"/>
      <c r="W52" s="627"/>
      <c r="Y52" s="684"/>
    </row>
    <row r="53" spans="1:25" s="55" customFormat="1" ht="42" customHeight="1" thickTop="1" x14ac:dyDescent="0.2">
      <c r="A53" s="54"/>
      <c r="B53" s="54"/>
      <c r="C53" s="54"/>
      <c r="D53" s="54"/>
      <c r="E53" s="54"/>
      <c r="F53" s="54"/>
      <c r="G53" s="54"/>
      <c r="H53" s="54"/>
      <c r="I53" s="54"/>
      <c r="J53" s="193"/>
      <c r="K53" s="193"/>
      <c r="L53" s="304"/>
      <c r="R53" s="577"/>
      <c r="W53" s="627"/>
      <c r="Y53" s="684"/>
    </row>
    <row r="54" spans="1:25" s="55" customFormat="1" ht="20.25" x14ac:dyDescent="0.2">
      <c r="A54" s="58"/>
      <c r="B54" s="58"/>
      <c r="C54" s="58"/>
      <c r="D54" s="58"/>
      <c r="F54" s="58" t="s">
        <v>308</v>
      </c>
      <c r="G54" s="193">
        <v>225930</v>
      </c>
      <c r="H54" s="193">
        <v>227723</v>
      </c>
      <c r="I54" s="193">
        <v>178666</v>
      </c>
      <c r="J54" s="193">
        <v>206080</v>
      </c>
      <c r="K54" s="193">
        <v>226000</v>
      </c>
      <c r="L54" s="304"/>
      <c r="R54" s="577"/>
      <c r="W54" s="627"/>
      <c r="Y54" s="684"/>
    </row>
    <row r="55" spans="1:25" s="55" customFormat="1" ht="21" thickBot="1" x14ac:dyDescent="0.25">
      <c r="A55" s="58"/>
      <c r="B55" s="58"/>
      <c r="C55" s="58"/>
      <c r="D55" s="58"/>
      <c r="F55" s="58" t="s">
        <v>313</v>
      </c>
      <c r="G55" s="492">
        <f>(G47-G36-G37)/G54</f>
        <v>1.386615323330235</v>
      </c>
      <c r="H55" s="492">
        <f>(H47-H36-H37)/H54</f>
        <v>1.5003962709080774</v>
      </c>
      <c r="I55" s="492">
        <f>(I47-I36-I37)/I54</f>
        <v>1.6965005653006167</v>
      </c>
      <c r="J55" s="492">
        <f>(J47-J36-J37)/J54</f>
        <v>1.7608285816187885</v>
      </c>
      <c r="K55" s="492">
        <f>(K47-K36-K37)/K54</f>
        <v>1.9067848672566372</v>
      </c>
      <c r="L55" s="304"/>
      <c r="R55" s="577"/>
      <c r="W55" s="627"/>
      <c r="Y55" s="684"/>
    </row>
    <row r="56" spans="1:25" s="55" customFormat="1" ht="20.25" x14ac:dyDescent="0.2">
      <c r="A56" s="58"/>
      <c r="B56" s="58"/>
      <c r="C56" s="58"/>
      <c r="D56" s="58"/>
      <c r="F56" s="58"/>
      <c r="G56" s="58"/>
      <c r="H56" s="193"/>
      <c r="I56" s="193"/>
      <c r="J56" s="193"/>
      <c r="K56" s="193"/>
      <c r="L56" s="304"/>
      <c r="R56" s="577"/>
      <c r="W56" s="627"/>
      <c r="Y56" s="684"/>
    </row>
    <row r="57" spans="1:25" s="55" customFormat="1" ht="20.25" x14ac:dyDescent="0.2">
      <c r="A57" s="58"/>
      <c r="B57" s="58"/>
      <c r="C57" s="58"/>
      <c r="D57" s="58"/>
      <c r="F57" s="58" t="s">
        <v>309</v>
      </c>
      <c r="G57" s="193">
        <v>15755</v>
      </c>
      <c r="H57" s="193">
        <v>16457</v>
      </c>
      <c r="I57" s="193">
        <v>10151</v>
      </c>
      <c r="J57" s="193">
        <v>10428</v>
      </c>
      <c r="K57" s="193">
        <v>11740</v>
      </c>
      <c r="L57" s="304"/>
      <c r="R57" s="577"/>
      <c r="W57" s="627"/>
      <c r="Y57" s="684"/>
    </row>
    <row r="58" spans="1:25" s="55" customFormat="1" ht="21" thickBot="1" x14ac:dyDescent="0.25">
      <c r="A58" s="58"/>
      <c r="B58" s="58"/>
      <c r="C58" s="58"/>
      <c r="D58" s="58"/>
      <c r="F58" s="58" t="s">
        <v>369</v>
      </c>
      <c r="G58" s="492">
        <f>(G47-G36-G37)/G57</f>
        <v>19.884354173278325</v>
      </c>
      <c r="H58" s="492">
        <f>(H47-H36-H37)/H57</f>
        <v>20.761666160296535</v>
      </c>
      <c r="I58" s="492">
        <f>(I47-I36-I37)/I57</f>
        <v>29.859813811447147</v>
      </c>
      <c r="J58" s="492">
        <f>(J47-J36-J37)/J57</f>
        <v>34.797809177215186</v>
      </c>
      <c r="K58" s="492">
        <f>(K47-K36-K37)/K57</f>
        <v>36.706420783645655</v>
      </c>
      <c r="L58" s="304"/>
      <c r="R58" s="577"/>
      <c r="W58" s="627"/>
      <c r="Y58" s="684"/>
    </row>
    <row r="59" spans="1:25" s="55" customFormat="1" ht="20.25" x14ac:dyDescent="0.2">
      <c r="A59" s="58"/>
      <c r="B59" s="58"/>
      <c r="C59" s="58"/>
      <c r="D59" s="58"/>
      <c r="F59" s="58"/>
      <c r="G59" s="58"/>
      <c r="H59" s="193"/>
      <c r="I59" s="193"/>
      <c r="J59" s="193"/>
      <c r="K59" s="193"/>
      <c r="L59" s="304"/>
      <c r="R59" s="577"/>
      <c r="W59" s="627"/>
      <c r="Y59" s="684"/>
    </row>
    <row r="60" spans="1:25" s="55" customFormat="1" ht="20.25" hidden="1" x14ac:dyDescent="0.2">
      <c r="A60" s="58"/>
      <c r="B60" s="58"/>
      <c r="C60" s="54"/>
      <c r="D60" s="58"/>
      <c r="F60" s="58" t="s">
        <v>310</v>
      </c>
      <c r="G60" s="58"/>
      <c r="H60" s="193">
        <v>2102</v>
      </c>
      <c r="I60" s="193">
        <v>2696</v>
      </c>
      <c r="J60" s="193">
        <v>2714</v>
      </c>
      <c r="K60" s="193">
        <v>2714</v>
      </c>
      <c r="L60" s="304"/>
      <c r="R60" s="577"/>
      <c r="W60" s="627"/>
      <c r="Y60" s="684"/>
    </row>
    <row r="61" spans="1:25" s="55" customFormat="1" ht="21" hidden="1" thickBot="1" x14ac:dyDescent="0.25">
      <c r="A61" s="58"/>
      <c r="B61" s="58"/>
      <c r="C61" s="58"/>
      <c r="D61" s="58"/>
      <c r="E61" s="58"/>
      <c r="F61" s="58" t="s">
        <v>370</v>
      </c>
      <c r="G61" s="58"/>
      <c r="H61" s="492">
        <f>H10/H60</f>
        <v>5.8413035204567079</v>
      </c>
      <c r="I61" s="492">
        <f>I9/I60</f>
        <v>25.248538575667656</v>
      </c>
      <c r="J61" s="492">
        <f>J9/J60</f>
        <v>31.557439204126752</v>
      </c>
      <c r="K61" s="492">
        <f>K9/K60</f>
        <v>32.464893146647015</v>
      </c>
      <c r="L61" s="304"/>
      <c r="R61" s="577"/>
      <c r="W61" s="627"/>
      <c r="Y61" s="684"/>
    </row>
    <row r="62" spans="1:25" s="55" customFormat="1" ht="20.25" hidden="1" x14ac:dyDescent="0.2">
      <c r="A62" s="58"/>
      <c r="B62" s="58"/>
      <c r="C62" s="54"/>
      <c r="D62" s="54"/>
      <c r="I62" s="193"/>
      <c r="J62" s="193"/>
      <c r="K62" s="193"/>
      <c r="L62" s="304"/>
      <c r="R62" s="577"/>
      <c r="W62" s="627"/>
      <c r="Y62" s="684"/>
    </row>
    <row r="63" spans="1:25" s="55" customFormat="1" ht="20.25" hidden="1" x14ac:dyDescent="0.2">
      <c r="A63" s="58"/>
      <c r="B63" s="58"/>
      <c r="C63" s="58"/>
      <c r="D63" s="58"/>
      <c r="E63" s="58"/>
      <c r="F63" s="58" t="s">
        <v>486</v>
      </c>
      <c r="G63" s="58"/>
      <c r="H63" s="193">
        <v>195138</v>
      </c>
      <c r="I63" s="193">
        <v>104281</v>
      </c>
      <c r="J63" s="193">
        <v>114885</v>
      </c>
      <c r="K63" s="193">
        <v>134000</v>
      </c>
      <c r="L63" s="304"/>
      <c r="R63" s="577"/>
      <c r="W63" s="627"/>
      <c r="Y63" s="684"/>
    </row>
    <row r="64" spans="1:25" s="55" customFormat="1" ht="21" hidden="1" thickBot="1" x14ac:dyDescent="0.25">
      <c r="A64" s="58"/>
      <c r="B64" s="58"/>
      <c r="C64" s="58"/>
      <c r="D64" s="58"/>
      <c r="E64" s="58"/>
      <c r="F64" s="58" t="s">
        <v>313</v>
      </c>
      <c r="G64" s="58"/>
      <c r="H64" s="492">
        <f>(H47-H36-H37)/H63</f>
        <v>1.7509390277649668</v>
      </c>
      <c r="I64" s="492">
        <f>(I47-I36-I37)/I63</f>
        <v>2.9066365876813607</v>
      </c>
      <c r="J64" s="492">
        <f>(J47-J36-J37)/J63</f>
        <v>3.1585633816425118</v>
      </c>
      <c r="K64" s="492">
        <f>(K47-K36-K37)/K63</f>
        <v>3.2159207462686568</v>
      </c>
      <c r="L64" s="304"/>
      <c r="R64" s="577"/>
      <c r="W64" s="627"/>
      <c r="Y64" s="684"/>
    </row>
    <row r="65" spans="1:25" s="55" customFormat="1" ht="20.25" hidden="1" x14ac:dyDescent="0.2">
      <c r="A65" s="58"/>
      <c r="B65" s="58"/>
      <c r="C65" s="54"/>
      <c r="D65" s="58"/>
      <c r="F65" s="58"/>
      <c r="G65" s="58"/>
      <c r="H65" s="58"/>
      <c r="I65" s="193"/>
      <c r="J65" s="193"/>
      <c r="K65" s="193"/>
      <c r="L65" s="304"/>
      <c r="R65" s="577"/>
      <c r="W65" s="627"/>
      <c r="Y65" s="684"/>
    </row>
    <row r="66" spans="1:25" s="55" customFormat="1" ht="20.25" hidden="1" x14ac:dyDescent="0.2">
      <c r="A66" s="58"/>
      <c r="B66" s="58"/>
      <c r="C66" s="54"/>
      <c r="D66" s="58"/>
      <c r="F66" s="58" t="s">
        <v>486</v>
      </c>
      <c r="G66" s="58"/>
      <c r="H66" s="193">
        <v>195138</v>
      </c>
      <c r="I66" s="193">
        <v>104281</v>
      </c>
      <c r="J66" s="193">
        <v>114885</v>
      </c>
      <c r="K66" s="193">
        <f>K63</f>
        <v>134000</v>
      </c>
      <c r="L66" s="304"/>
      <c r="R66" s="577"/>
      <c r="W66" s="627"/>
      <c r="Y66" s="684"/>
    </row>
    <row r="67" spans="1:25" s="55" customFormat="1" ht="20.25" hidden="1" x14ac:dyDescent="0.2">
      <c r="A67" s="58"/>
      <c r="B67" s="58"/>
      <c r="C67" s="54"/>
      <c r="D67" s="58"/>
      <c r="F67" s="58" t="s">
        <v>309</v>
      </c>
      <c r="G67" s="58"/>
      <c r="H67" s="193">
        <v>16457</v>
      </c>
      <c r="I67" s="193">
        <v>10151</v>
      </c>
      <c r="J67" s="193">
        <v>10428</v>
      </c>
      <c r="K67" s="193">
        <f>K57</f>
        <v>11740</v>
      </c>
      <c r="L67" s="304"/>
      <c r="R67" s="577"/>
      <c r="W67" s="627"/>
      <c r="Y67" s="684"/>
    </row>
    <row r="68" spans="1:25" s="55" customFormat="1" ht="21" hidden="1" thickBot="1" x14ac:dyDescent="0.25">
      <c r="A68" s="58"/>
      <c r="B68" s="58"/>
      <c r="C68" s="58"/>
      <c r="D68" s="58"/>
      <c r="E68" s="58"/>
      <c r="F68" s="58" t="s">
        <v>487</v>
      </c>
      <c r="G68" s="58"/>
      <c r="H68" s="687">
        <f>H66/H67</f>
        <v>11.857446679224646</v>
      </c>
      <c r="I68" s="687">
        <f>I66/I67</f>
        <v>10.272978031721014</v>
      </c>
      <c r="J68" s="687">
        <f>J66/J67</f>
        <v>11.016973532796317</v>
      </c>
      <c r="K68" s="687">
        <f>K66/K67</f>
        <v>11.41396933560477</v>
      </c>
      <c r="L68" s="304"/>
      <c r="R68" s="577"/>
      <c r="W68" s="627"/>
      <c r="Y68" s="684"/>
    </row>
    <row r="69" spans="1:25" s="55" customFormat="1" ht="20.25" hidden="1" x14ac:dyDescent="0.2">
      <c r="A69" s="54"/>
      <c r="B69" s="54"/>
      <c r="C69" s="54"/>
      <c r="D69" s="54"/>
      <c r="E69" s="54"/>
      <c r="F69" s="54"/>
      <c r="G69" s="54"/>
      <c r="H69" s="54"/>
      <c r="I69" s="196"/>
      <c r="J69" s="196"/>
      <c r="K69" s="196"/>
      <c r="L69" s="304"/>
      <c r="R69" s="577"/>
      <c r="W69" s="627"/>
      <c r="Y69" s="684"/>
    </row>
    <row r="70" spans="1:25" s="55" customFormat="1" ht="20.25" hidden="1" x14ac:dyDescent="0.2">
      <c r="A70" s="54"/>
      <c r="B70" s="54"/>
      <c r="C70" s="54"/>
      <c r="D70" s="54"/>
      <c r="E70" s="54"/>
      <c r="F70" s="58" t="s">
        <v>488</v>
      </c>
      <c r="G70" s="58"/>
      <c r="H70" s="193">
        <v>227723</v>
      </c>
      <c r="I70" s="193">
        <v>178666</v>
      </c>
      <c r="J70" s="193">
        <v>206080</v>
      </c>
      <c r="K70" s="193">
        <f>K54</f>
        <v>226000</v>
      </c>
      <c r="L70" s="304"/>
      <c r="R70" s="577"/>
      <c r="W70" s="627"/>
      <c r="Y70" s="684"/>
    </row>
    <row r="71" spans="1:25" s="55" customFormat="1" ht="20.25" hidden="1" x14ac:dyDescent="0.2">
      <c r="A71" s="54"/>
      <c r="B71" s="54"/>
      <c r="C71" s="54"/>
      <c r="D71" s="54"/>
      <c r="E71" s="54"/>
      <c r="F71" s="58" t="s">
        <v>309</v>
      </c>
      <c r="G71" s="58"/>
      <c r="H71" s="193">
        <v>16457</v>
      </c>
      <c r="I71" s="193">
        <v>10151</v>
      </c>
      <c r="J71" s="193">
        <v>10428</v>
      </c>
      <c r="K71" s="193">
        <f>K57</f>
        <v>11740</v>
      </c>
      <c r="L71" s="304"/>
      <c r="R71" s="577"/>
      <c r="W71" s="627"/>
      <c r="Y71" s="684"/>
    </row>
    <row r="72" spans="1:25" s="55" customFormat="1" ht="21" hidden="1" thickBot="1" x14ac:dyDescent="0.25">
      <c r="A72" s="54"/>
      <c r="B72" s="54"/>
      <c r="C72" s="54"/>
      <c r="D72" s="54"/>
      <c r="E72" s="54"/>
      <c r="F72" s="58" t="s">
        <v>489</v>
      </c>
      <c r="G72" s="58"/>
      <c r="H72" s="687">
        <f>H70/H71</f>
        <v>13.837455186242936</v>
      </c>
      <c r="I72" s="687">
        <f>I70/I71</f>
        <v>17.600827504679341</v>
      </c>
      <c r="J72" s="687">
        <f>J70/J71</f>
        <v>19.762178749520523</v>
      </c>
      <c r="K72" s="687">
        <f>K70/K71</f>
        <v>19.250425894378193</v>
      </c>
      <c r="L72" s="304"/>
      <c r="R72" s="577"/>
      <c r="W72" s="627"/>
      <c r="Y72" s="684"/>
    </row>
    <row r="73" spans="1:25" s="55" customFormat="1" ht="20.25" hidden="1" x14ac:dyDescent="0.2">
      <c r="A73" s="54"/>
      <c r="B73" s="54"/>
      <c r="C73" s="54"/>
      <c r="D73" s="54"/>
      <c r="E73" s="54"/>
      <c r="F73" s="58"/>
      <c r="G73" s="58"/>
      <c r="H73" s="688"/>
      <c r="I73" s="688"/>
      <c r="J73" s="688"/>
      <c r="K73" s="688"/>
      <c r="L73" s="304"/>
      <c r="R73" s="577"/>
      <c r="W73" s="627"/>
      <c r="Y73" s="684"/>
    </row>
    <row r="74" spans="1:25" s="55" customFormat="1" ht="20.25" hidden="1" x14ac:dyDescent="0.2">
      <c r="A74" s="54"/>
      <c r="B74" s="54"/>
      <c r="C74" s="54"/>
      <c r="D74" s="54"/>
      <c r="E74" s="54"/>
      <c r="F74" s="689" t="s">
        <v>490</v>
      </c>
      <c r="G74" s="689"/>
      <c r="H74" s="54"/>
      <c r="I74" s="54"/>
      <c r="J74" s="196"/>
      <c r="K74" s="196"/>
      <c r="L74" s="304"/>
      <c r="R74" s="577"/>
      <c r="W74" s="627"/>
      <c r="Y74" s="684"/>
    </row>
    <row r="75" spans="1:25" s="55" customFormat="1" ht="20.25" hidden="1" x14ac:dyDescent="0.2">
      <c r="A75" s="54"/>
      <c r="B75" s="54"/>
      <c r="C75" s="54"/>
      <c r="D75" s="54"/>
      <c r="E75" s="54"/>
      <c r="F75" s="54" t="s">
        <v>491</v>
      </c>
      <c r="G75" s="54"/>
      <c r="H75" s="690">
        <f t="shared" ref="H75:J75" si="0">H28+(H28*0.21)+H32+H34</f>
        <v>237890.76749999999</v>
      </c>
      <c r="I75" s="690">
        <f t="shared" si="0"/>
        <v>188101.25649999999</v>
      </c>
      <c r="J75" s="690">
        <f t="shared" si="0"/>
        <v>232210.04700000002</v>
      </c>
      <c r="K75" s="690">
        <f>K28+(K28*0.2)+K32+K34</f>
        <v>290400</v>
      </c>
      <c r="L75" s="691"/>
      <c r="R75" s="577"/>
      <c r="W75" s="627"/>
      <c r="Y75" s="684"/>
    </row>
    <row r="76" spans="1:25" s="55" customFormat="1" ht="23.25" hidden="1" x14ac:dyDescent="0.2">
      <c r="A76" s="54"/>
      <c r="B76" s="222"/>
      <c r="C76" s="54"/>
      <c r="D76" s="54"/>
      <c r="E76" s="54"/>
      <c r="F76" s="54" t="s">
        <v>492</v>
      </c>
      <c r="G76" s="54"/>
      <c r="H76" s="196">
        <f>H47-H75-H77</f>
        <v>103783.97250000012</v>
      </c>
      <c r="I76" s="196">
        <f>I47-I75-I77</f>
        <v>115005.71349999998</v>
      </c>
      <c r="J76" s="196">
        <f>J47-J75-J77</f>
        <v>130661.50709999993</v>
      </c>
      <c r="K76" s="196">
        <f>K47-K75-K77</f>
        <v>140533.38</v>
      </c>
      <c r="L76" s="691"/>
      <c r="R76" s="577"/>
      <c r="W76" s="627"/>
      <c r="Y76" s="684"/>
    </row>
    <row r="77" spans="1:25" s="55" customFormat="1" ht="20.25" hidden="1" x14ac:dyDescent="0.2">
      <c r="A77" s="58"/>
      <c r="B77" s="58"/>
      <c r="D77" s="58"/>
      <c r="E77" s="58"/>
      <c r="F77" s="54" t="s">
        <v>493</v>
      </c>
      <c r="G77" s="54"/>
      <c r="H77" s="196">
        <f>H36+H37</f>
        <v>33344.68</v>
      </c>
      <c r="I77" s="196">
        <f>I36+I37</f>
        <v>41084</v>
      </c>
      <c r="J77" s="196">
        <f>J36+J37</f>
        <v>40932</v>
      </c>
      <c r="K77" s="196">
        <f>K36+K37</f>
        <v>41382</v>
      </c>
      <c r="L77" s="691"/>
      <c r="R77" s="577"/>
      <c r="W77" s="627"/>
      <c r="Y77" s="684"/>
    </row>
    <row r="78" spans="1:25" s="55" customFormat="1" ht="21" hidden="1" thickBot="1" x14ac:dyDescent="0.25">
      <c r="A78" s="58"/>
      <c r="B78" s="58"/>
      <c r="D78" s="58"/>
      <c r="E78" s="58"/>
      <c r="F78" s="54" t="s">
        <v>494</v>
      </c>
      <c r="G78" s="54"/>
      <c r="H78" s="692">
        <f>SUM(H75:H77)</f>
        <v>375019.4200000001</v>
      </c>
      <c r="I78" s="692">
        <f>SUM(I75:I77)</f>
        <v>344190.97</v>
      </c>
      <c r="J78" s="692">
        <f>SUM(J75:J77)</f>
        <v>403803.55409999995</v>
      </c>
      <c r="K78" s="692">
        <f>SUM(K75:K77)</f>
        <v>472315.38</v>
      </c>
      <c r="L78" s="691"/>
      <c r="R78" s="577"/>
      <c r="W78" s="627"/>
      <c r="Y78" s="684"/>
    </row>
    <row r="79" spans="1:25" s="55" customFormat="1" ht="20.25" hidden="1" x14ac:dyDescent="0.2">
      <c r="A79" s="58"/>
      <c r="B79" s="58"/>
      <c r="D79" s="58"/>
      <c r="E79" s="58"/>
      <c r="F79" s="54" t="s">
        <v>495</v>
      </c>
      <c r="G79" s="54"/>
      <c r="H79" s="693">
        <v>195138</v>
      </c>
      <c r="I79" s="693">
        <v>104281</v>
      </c>
      <c r="J79" s="694">
        <f>J63</f>
        <v>114885</v>
      </c>
      <c r="K79" s="694">
        <f>K63</f>
        <v>134000</v>
      </c>
      <c r="L79" s="691"/>
      <c r="R79" s="577"/>
      <c r="W79" s="627"/>
      <c r="Y79" s="684"/>
    </row>
    <row r="80" spans="1:25" s="55" customFormat="1" ht="20.25" hidden="1" x14ac:dyDescent="0.2">
      <c r="A80" s="58"/>
      <c r="B80" s="58"/>
      <c r="D80" s="58"/>
      <c r="E80" s="58"/>
      <c r="F80" s="54" t="s">
        <v>496</v>
      </c>
      <c r="G80" s="54"/>
      <c r="H80" s="695">
        <f>H75/H79</f>
        <v>1.2190899132921316</v>
      </c>
      <c r="I80" s="695">
        <f>I75/I79</f>
        <v>1.8037922200592629</v>
      </c>
      <c r="J80" s="695">
        <f>J75/J79</f>
        <v>2.0212390390390391</v>
      </c>
      <c r="K80" s="695">
        <f>K75/K79</f>
        <v>2.1671641791044776</v>
      </c>
      <c r="L80" s="691"/>
      <c r="R80" s="577"/>
      <c r="W80" s="627"/>
      <c r="Y80" s="684"/>
    </row>
    <row r="81" spans="1:25" s="55" customFormat="1" ht="20.25" hidden="1" x14ac:dyDescent="0.2">
      <c r="A81" s="58"/>
      <c r="B81" s="58"/>
      <c r="D81" s="58"/>
      <c r="E81" s="58"/>
      <c r="F81" s="54" t="s">
        <v>497</v>
      </c>
      <c r="G81" s="54"/>
      <c r="H81" s="695">
        <f>H76/H57</f>
        <v>6.3063725162544886</v>
      </c>
      <c r="I81" s="695">
        <f>I76/I57</f>
        <v>11.329495960989064</v>
      </c>
      <c r="J81" s="695">
        <f>J76/J57</f>
        <v>12.529872180667427</v>
      </c>
      <c r="K81" s="695">
        <f>K76/K57</f>
        <v>11.970475298126065</v>
      </c>
      <c r="L81" s="691"/>
      <c r="R81" s="577"/>
      <c r="W81" s="627"/>
      <c r="Y81" s="684"/>
    </row>
    <row r="82" spans="1:25" s="55" customFormat="1" ht="20.25" hidden="1" x14ac:dyDescent="0.2">
      <c r="A82" s="58"/>
      <c r="B82" s="58"/>
      <c r="D82" s="58"/>
      <c r="E82" s="58"/>
      <c r="F82" s="54"/>
      <c r="G82" s="54"/>
      <c r="H82" s="54"/>
      <c r="I82" s="695"/>
      <c r="J82" s="695"/>
      <c r="K82" s="695"/>
      <c r="L82" s="691"/>
      <c r="R82" s="577"/>
      <c r="W82" s="627"/>
      <c r="Y82" s="684"/>
    </row>
    <row r="83" spans="1:25" s="55" customFormat="1" ht="20.25" hidden="1" x14ac:dyDescent="0.2">
      <c r="A83" s="58"/>
      <c r="B83" s="58"/>
      <c r="D83" s="58"/>
      <c r="E83" s="58"/>
      <c r="H83" s="58"/>
      <c r="I83" s="58"/>
      <c r="J83" s="193"/>
      <c r="K83" s="193"/>
      <c r="L83" s="304"/>
      <c r="R83" s="577"/>
      <c r="W83" s="627"/>
      <c r="Y83" s="684"/>
    </row>
    <row r="84" spans="1:25" s="55" customFormat="1" ht="20.25" hidden="1" x14ac:dyDescent="0.2">
      <c r="A84" s="54"/>
      <c r="B84" s="54"/>
      <c r="D84" s="58"/>
      <c r="E84" s="54"/>
      <c r="F84" s="54" t="s">
        <v>491</v>
      </c>
      <c r="G84" s="54"/>
      <c r="H84" s="196">
        <f>H24-H85-H86</f>
        <v>238182.86749999985</v>
      </c>
      <c r="I84" s="196">
        <f>I22-I85-I86</f>
        <v>180025.0165</v>
      </c>
      <c r="J84" s="196">
        <f>J22-J85-J86</f>
        <v>199028.67290000001</v>
      </c>
      <c r="K84" s="196">
        <f>K22-K85-K86</f>
        <v>185467.83999999997</v>
      </c>
      <c r="L84" s="691"/>
      <c r="R84" s="577"/>
      <c r="W84" s="627"/>
      <c r="Y84" s="684"/>
    </row>
    <row r="85" spans="1:25" s="55" customFormat="1" ht="23.25" hidden="1" x14ac:dyDescent="0.2">
      <c r="A85" s="54"/>
      <c r="B85" s="222"/>
      <c r="C85" s="54"/>
      <c r="D85" s="54"/>
      <c r="E85" s="54"/>
      <c r="F85" s="54" t="s">
        <v>492</v>
      </c>
      <c r="G85" s="54"/>
      <c r="H85" s="693">
        <f>H76</f>
        <v>103783.97250000012</v>
      </c>
      <c r="I85" s="693">
        <f>I76</f>
        <v>115005.71349999998</v>
      </c>
      <c r="J85" s="196">
        <f>J76</f>
        <v>130661.50709999993</v>
      </c>
      <c r="K85" s="196">
        <f>K76</f>
        <v>140533.38</v>
      </c>
      <c r="L85" s="691"/>
      <c r="R85" s="577"/>
      <c r="W85" s="627"/>
      <c r="Y85" s="684"/>
    </row>
    <row r="86" spans="1:25" s="55" customFormat="1" ht="20.25" hidden="1" x14ac:dyDescent="0.2">
      <c r="A86" s="54"/>
      <c r="B86" s="54"/>
      <c r="C86" s="54"/>
      <c r="D86" s="54"/>
      <c r="E86" s="54"/>
      <c r="F86" s="54" t="s">
        <v>498</v>
      </c>
      <c r="G86" s="54"/>
      <c r="H86" s="693">
        <f>H18</f>
        <v>9315</v>
      </c>
      <c r="I86" s="693">
        <f>I18</f>
        <v>9315</v>
      </c>
      <c r="J86" s="196">
        <f>J37</f>
        <v>10548</v>
      </c>
      <c r="K86" s="196">
        <f>K37</f>
        <v>10548</v>
      </c>
      <c r="L86" s="691"/>
      <c r="R86" s="577"/>
      <c r="W86" s="627"/>
      <c r="Y86" s="684"/>
    </row>
    <row r="87" spans="1:25" s="62" customFormat="1" ht="27" hidden="1" thickBot="1" x14ac:dyDescent="0.25">
      <c r="A87" s="219"/>
      <c r="B87" s="219"/>
      <c r="C87" s="219"/>
      <c r="D87" s="219"/>
      <c r="E87" s="219"/>
      <c r="F87" s="54" t="s">
        <v>499</v>
      </c>
      <c r="G87" s="54"/>
      <c r="H87" s="604">
        <f>SUM(H84:H86)</f>
        <v>351281.83999999997</v>
      </c>
      <c r="I87" s="604">
        <f>SUM(I84:I86)</f>
        <v>304345.73</v>
      </c>
      <c r="J87" s="604">
        <f>SUM(J84:J86)</f>
        <v>340238.17999999993</v>
      </c>
      <c r="K87" s="604">
        <f>SUM(K84:K86)</f>
        <v>336549.22</v>
      </c>
      <c r="L87" s="306"/>
      <c r="R87" s="696"/>
      <c r="W87" s="697"/>
      <c r="Y87" s="698"/>
    </row>
    <row r="88" spans="1:25" s="62" customFormat="1" ht="26.25" hidden="1" x14ac:dyDescent="0.2">
      <c r="A88" s="219"/>
      <c r="B88" s="219"/>
      <c r="C88" s="219"/>
      <c r="D88" s="219"/>
      <c r="E88" s="219"/>
      <c r="F88" s="54" t="s">
        <v>500</v>
      </c>
      <c r="G88" s="54"/>
      <c r="H88" s="196">
        <f>H67</f>
        <v>16457</v>
      </c>
      <c r="I88" s="196">
        <f>I67</f>
        <v>10151</v>
      </c>
      <c r="J88" s="196">
        <f>J57</f>
        <v>10428</v>
      </c>
      <c r="K88" s="196">
        <v>11740</v>
      </c>
      <c r="L88" s="306"/>
      <c r="R88" s="696"/>
      <c r="W88" s="697"/>
      <c r="Y88" s="698"/>
    </row>
    <row r="89" spans="1:25" ht="20.25" hidden="1" x14ac:dyDescent="0.3">
      <c r="F89" s="54" t="s">
        <v>501</v>
      </c>
      <c r="G89" s="54"/>
      <c r="H89" s="699">
        <f>H84/H80/H68</f>
        <v>16477.207130148494</v>
      </c>
      <c r="I89" s="699">
        <f>I84/I80/I68</f>
        <v>9715.1607410527849</v>
      </c>
      <c r="J89" s="699">
        <f>J84/J80/J68</f>
        <v>8937.9035395535666</v>
      </c>
      <c r="K89" s="699">
        <f>K84/K80/K68</f>
        <v>7497.9078567493098</v>
      </c>
    </row>
    <row r="90" spans="1:25" ht="20.25" hidden="1" x14ac:dyDescent="0.3">
      <c r="F90" s="54" t="s">
        <v>502</v>
      </c>
      <c r="G90" s="54"/>
      <c r="H90" s="700">
        <f>H89-H88</f>
        <v>20.207130148493889</v>
      </c>
      <c r="I90" s="700">
        <f>I89-I88</f>
        <v>-435.83925894721506</v>
      </c>
      <c r="J90" s="700">
        <f>J89-J88</f>
        <v>-1490.0964604464334</v>
      </c>
      <c r="K90" s="700">
        <f>K89-K88</f>
        <v>-4242.0921432506902</v>
      </c>
    </row>
    <row r="91" spans="1:25" ht="20.25" hidden="1" x14ac:dyDescent="0.3">
      <c r="F91" s="54" t="s">
        <v>496</v>
      </c>
      <c r="G91" s="54"/>
      <c r="H91" s="701">
        <f>H84/(H89*H68)</f>
        <v>1.2190899132921318</v>
      </c>
      <c r="I91" s="701">
        <f>I84/(I89*I68)</f>
        <v>1.8037922200592629</v>
      </c>
      <c r="J91" s="701">
        <f>J84/(J89*J68)</f>
        <v>2.0212390390390391</v>
      </c>
      <c r="K91" s="701">
        <f>K84/(K89*K68)</f>
        <v>2.1671641791044776</v>
      </c>
    </row>
    <row r="92" spans="1:25" ht="20.25" hidden="1" x14ac:dyDescent="0.3">
      <c r="F92" s="54" t="s">
        <v>497</v>
      </c>
      <c r="G92" s="54"/>
      <c r="H92" s="701">
        <f>H85/H89</f>
        <v>6.2986385787495296</v>
      </c>
      <c r="I92" s="701">
        <f>I85/I89</f>
        <v>11.837757147344673</v>
      </c>
      <c r="J92" s="701">
        <f>J85/J89</f>
        <v>14.618809267942297</v>
      </c>
      <c r="K92" s="701">
        <f>K85/K89</f>
        <v>18.743012408921192</v>
      </c>
    </row>
    <row r="93" spans="1:25" ht="20.25" hidden="1" x14ac:dyDescent="0.3">
      <c r="F93" s="54"/>
      <c r="G93" s="54"/>
      <c r="H93" s="54"/>
      <c r="I93" s="701"/>
      <c r="J93" s="701"/>
      <c r="K93" s="701"/>
    </row>
    <row r="94" spans="1:25" ht="20.25" hidden="1" x14ac:dyDescent="0.3">
      <c r="J94" s="227"/>
      <c r="K94" s="227"/>
    </row>
    <row r="95" spans="1:25" ht="20.25" hidden="1" x14ac:dyDescent="0.3">
      <c r="J95" s="227"/>
      <c r="K95" s="227"/>
    </row>
    <row r="96" spans="1:25" ht="20.25" hidden="1" x14ac:dyDescent="0.3">
      <c r="F96" s="689" t="s">
        <v>503</v>
      </c>
      <c r="G96" s="689"/>
      <c r="J96" s="227"/>
      <c r="K96" s="227"/>
    </row>
    <row r="97" spans="6:12" ht="20.25" hidden="1" x14ac:dyDescent="0.25">
      <c r="F97" s="54" t="s">
        <v>491</v>
      </c>
      <c r="G97" s="54"/>
      <c r="H97" s="690">
        <f t="shared" ref="H97:J99" si="1">H75</f>
        <v>237890.76749999999</v>
      </c>
      <c r="I97" s="690">
        <f t="shared" si="1"/>
        <v>188101.25649999999</v>
      </c>
      <c r="J97" s="690">
        <f t="shared" si="1"/>
        <v>232210.04700000002</v>
      </c>
      <c r="K97" s="690">
        <f>K75</f>
        <v>290400</v>
      </c>
      <c r="L97" s="691"/>
    </row>
    <row r="98" spans="6:12" ht="20.25" hidden="1" x14ac:dyDescent="0.25">
      <c r="F98" s="54" t="s">
        <v>492</v>
      </c>
      <c r="G98" s="54"/>
      <c r="H98" s="196">
        <f t="shared" si="1"/>
        <v>103783.97250000012</v>
      </c>
      <c r="I98" s="196">
        <f t="shared" si="1"/>
        <v>115005.71349999998</v>
      </c>
      <c r="J98" s="196">
        <f t="shared" si="1"/>
        <v>130661.50709999993</v>
      </c>
      <c r="K98" s="196">
        <f>K76</f>
        <v>140533.38</v>
      </c>
      <c r="L98" s="691"/>
    </row>
    <row r="99" spans="6:12" ht="20.25" hidden="1" x14ac:dyDescent="0.25">
      <c r="F99" s="54" t="s">
        <v>493</v>
      </c>
      <c r="G99" s="54"/>
      <c r="H99" s="196">
        <f t="shared" si="1"/>
        <v>33344.68</v>
      </c>
      <c r="I99" s="196">
        <f t="shared" si="1"/>
        <v>41084</v>
      </c>
      <c r="J99" s="196">
        <f t="shared" si="1"/>
        <v>40932</v>
      </c>
      <c r="K99" s="196">
        <f>K77</f>
        <v>41382</v>
      </c>
      <c r="L99" s="691"/>
    </row>
    <row r="100" spans="6:12" ht="21" hidden="1" thickBot="1" x14ac:dyDescent="0.3">
      <c r="F100" s="54" t="s">
        <v>494</v>
      </c>
      <c r="G100" s="54"/>
      <c r="H100" s="692">
        <f>SUM(H97:H99)</f>
        <v>375019.4200000001</v>
      </c>
      <c r="I100" s="692">
        <f>SUM(I97:I99)</f>
        <v>344190.97</v>
      </c>
      <c r="J100" s="692">
        <f>SUM(J97:J99)</f>
        <v>403803.55409999995</v>
      </c>
      <c r="K100" s="692">
        <f>SUM(K97:K99)</f>
        <v>472315.38</v>
      </c>
      <c r="L100" s="691"/>
    </row>
    <row r="101" spans="6:12" ht="20.25" hidden="1" x14ac:dyDescent="0.25">
      <c r="F101" s="54" t="s">
        <v>504</v>
      </c>
      <c r="G101" s="54"/>
      <c r="H101" s="196">
        <f>H54</f>
        <v>227723</v>
      </c>
      <c r="I101" s="196">
        <f t="shared" ref="I101:K101" si="2">I54</f>
        <v>178666</v>
      </c>
      <c r="J101" s="196">
        <f t="shared" si="2"/>
        <v>206080</v>
      </c>
      <c r="K101" s="196">
        <f t="shared" si="2"/>
        <v>226000</v>
      </c>
      <c r="L101" s="691"/>
    </row>
    <row r="102" spans="6:12" ht="20.25" hidden="1" x14ac:dyDescent="0.25">
      <c r="F102" s="54" t="s">
        <v>505</v>
      </c>
      <c r="G102" s="54"/>
      <c r="H102" s="695">
        <f>H97/H101</f>
        <v>1.0446497169807178</v>
      </c>
      <c r="I102" s="695">
        <f>I97/I101</f>
        <v>1.0528094685054794</v>
      </c>
      <c r="J102" s="695">
        <f>J97/J101</f>
        <v>1.1267956473214287</v>
      </c>
      <c r="K102" s="695">
        <f>K97/K101</f>
        <v>1.2849557522123893</v>
      </c>
      <c r="L102" s="691"/>
    </row>
    <row r="103" spans="6:12" ht="20.25" hidden="1" x14ac:dyDescent="0.25">
      <c r="F103" s="54" t="s">
        <v>497</v>
      </c>
      <c r="G103" s="54"/>
      <c r="H103" s="695">
        <f t="shared" ref="H103:K103" si="3">H98/H57</f>
        <v>6.3063725162544886</v>
      </c>
      <c r="I103" s="695">
        <f t="shared" si="3"/>
        <v>11.329495960989064</v>
      </c>
      <c r="J103" s="695">
        <f t="shared" si="3"/>
        <v>12.529872180667427</v>
      </c>
      <c r="K103" s="695">
        <f t="shared" si="3"/>
        <v>11.970475298126065</v>
      </c>
      <c r="L103" s="691"/>
    </row>
    <row r="104" spans="6:12" ht="20.25" hidden="1" x14ac:dyDescent="0.3">
      <c r="H104" s="227"/>
      <c r="I104" s="227"/>
      <c r="J104" s="227"/>
      <c r="K104" s="227"/>
    </row>
    <row r="105" spans="6:12" ht="20.25" hidden="1" x14ac:dyDescent="0.25">
      <c r="H105" s="193"/>
      <c r="I105" s="193"/>
      <c r="J105" s="193"/>
      <c r="K105" s="193"/>
      <c r="L105" s="304"/>
    </row>
    <row r="106" spans="6:12" ht="20.25" hidden="1" x14ac:dyDescent="0.25">
      <c r="F106" s="54" t="s">
        <v>491</v>
      </c>
      <c r="G106" s="54"/>
      <c r="H106" s="196">
        <f>H24-H107-H108</f>
        <v>238182.86749999985</v>
      </c>
      <c r="I106" s="196">
        <f>I22-I107-I108</f>
        <v>180025.0165</v>
      </c>
      <c r="J106" s="196">
        <f>J22-J107-J108</f>
        <v>199028.67290000001</v>
      </c>
      <c r="K106" s="196">
        <f>K22-K107-K108</f>
        <v>185467.83999999997</v>
      </c>
      <c r="L106" s="691"/>
    </row>
    <row r="107" spans="6:12" ht="20.25" hidden="1" x14ac:dyDescent="0.25">
      <c r="F107" s="54" t="s">
        <v>492</v>
      </c>
      <c r="G107" s="54"/>
      <c r="H107" s="196">
        <f t="shared" ref="H107:I107" si="4">H98</f>
        <v>103783.97250000012</v>
      </c>
      <c r="I107" s="196">
        <f t="shared" si="4"/>
        <v>115005.71349999998</v>
      </c>
      <c r="J107" s="196">
        <f>J98</f>
        <v>130661.50709999993</v>
      </c>
      <c r="K107" s="196">
        <f t="shared" ref="K107" si="5">K98</f>
        <v>140533.38</v>
      </c>
      <c r="L107" s="691"/>
    </row>
    <row r="108" spans="6:12" ht="20.25" hidden="1" x14ac:dyDescent="0.25">
      <c r="F108" s="54" t="s">
        <v>103</v>
      </c>
      <c r="G108" s="54"/>
      <c r="H108" s="196">
        <f>H37</f>
        <v>9315</v>
      </c>
      <c r="I108" s="196">
        <f>I37</f>
        <v>9315</v>
      </c>
      <c r="J108" s="196">
        <f>J37</f>
        <v>10548</v>
      </c>
      <c r="K108" s="196">
        <f>K37</f>
        <v>10548</v>
      </c>
      <c r="L108" s="691"/>
    </row>
    <row r="109" spans="6:12" ht="27" hidden="1" thickBot="1" x14ac:dyDescent="0.3">
      <c r="F109" s="54" t="s">
        <v>499</v>
      </c>
      <c r="G109" s="54"/>
      <c r="H109" s="604">
        <f>SUM(H106:H108)</f>
        <v>351281.83999999997</v>
      </c>
      <c r="I109" s="604">
        <f>SUM(I106:I108)</f>
        <v>304345.73</v>
      </c>
      <c r="J109" s="604">
        <f>SUM(J106:J108)</f>
        <v>340238.17999999993</v>
      </c>
      <c r="K109" s="604">
        <f>SUM(K106:K108)</f>
        <v>336549.22</v>
      </c>
      <c r="L109" s="306"/>
    </row>
    <row r="110" spans="6:12" ht="20.25" hidden="1" x14ac:dyDescent="0.25">
      <c r="F110" s="54" t="s">
        <v>500</v>
      </c>
      <c r="G110" s="54"/>
      <c r="H110" s="196">
        <f>H88</f>
        <v>16457</v>
      </c>
      <c r="I110" s="196">
        <f>I88</f>
        <v>10151</v>
      </c>
      <c r="J110" s="196">
        <f>J88</f>
        <v>10428</v>
      </c>
      <c r="K110" s="196">
        <f>K88</f>
        <v>11740</v>
      </c>
    </row>
    <row r="111" spans="6:12" ht="20.25" hidden="1" x14ac:dyDescent="0.3">
      <c r="F111" s="54" t="s">
        <v>501</v>
      </c>
      <c r="G111" s="54"/>
      <c r="H111" s="699">
        <f t="shared" ref="H111:K111" si="6">H106/H102/H72</f>
        <v>16477.207130148494</v>
      </c>
      <c r="I111" s="699">
        <f t="shared" si="6"/>
        <v>9715.1607410527868</v>
      </c>
      <c r="J111" s="699">
        <f t="shared" si="6"/>
        <v>8937.9035395535648</v>
      </c>
      <c r="K111" s="699">
        <f t="shared" si="6"/>
        <v>7497.9078567493116</v>
      </c>
    </row>
    <row r="112" spans="6:12" ht="20.25" hidden="1" x14ac:dyDescent="0.3">
      <c r="F112" s="54" t="s">
        <v>502</v>
      </c>
      <c r="G112" s="54"/>
      <c r="H112" s="700">
        <f>H111-H110</f>
        <v>20.207130148493889</v>
      </c>
      <c r="I112" s="700">
        <f>I111-I110</f>
        <v>-435.83925894721324</v>
      </c>
      <c r="J112" s="700">
        <f>J111-J110</f>
        <v>-1490.0964604464352</v>
      </c>
      <c r="K112" s="700">
        <f>K111-K110</f>
        <v>-4242.0921432506884</v>
      </c>
    </row>
    <row r="113" spans="6:11" ht="20.25" hidden="1" x14ac:dyDescent="0.3">
      <c r="F113" s="54" t="s">
        <v>505</v>
      </c>
      <c r="G113" s="54"/>
      <c r="H113" s="701">
        <f>H106/(H111*H72)</f>
        <v>1.0446497169807178</v>
      </c>
      <c r="I113" s="701">
        <f t="shared" ref="I113:K113" si="7">I106/(I111*I72)</f>
        <v>1.0528094685054794</v>
      </c>
      <c r="J113" s="701">
        <f t="shared" si="7"/>
        <v>1.1267956473214289</v>
      </c>
      <c r="K113" s="701">
        <f t="shared" si="7"/>
        <v>1.2849557522123893</v>
      </c>
    </row>
    <row r="114" spans="6:11" ht="20.25" hidden="1" x14ac:dyDescent="0.3">
      <c r="F114" s="54" t="s">
        <v>506</v>
      </c>
      <c r="G114" s="54"/>
      <c r="H114" s="701">
        <f>H107/H111</f>
        <v>6.2986385787495296</v>
      </c>
      <c r="I114" s="701">
        <f>I107/I111</f>
        <v>11.837757147344671</v>
      </c>
      <c r="J114" s="701">
        <f>J107/J111</f>
        <v>14.618809267942298</v>
      </c>
      <c r="K114" s="701">
        <f>K107/K111</f>
        <v>18.743012408921185</v>
      </c>
    </row>
    <row r="115" spans="6:11" ht="20.25" x14ac:dyDescent="0.25">
      <c r="F115" s="54" t="s">
        <v>507</v>
      </c>
      <c r="G115" s="193">
        <f>G28+G32+G34+G28*0.21</f>
        <v>216908.68</v>
      </c>
      <c r="H115" s="193">
        <f t="shared" ref="H115:K115" si="8">H28+H32+H34+H28*0.21</f>
        <v>237890.76750000002</v>
      </c>
      <c r="I115" s="193">
        <f t="shared" si="8"/>
        <v>188101.25650000002</v>
      </c>
      <c r="J115" s="193">
        <f t="shared" si="8"/>
        <v>232210.04700000002</v>
      </c>
      <c r="K115" s="193">
        <f t="shared" si="8"/>
        <v>292430</v>
      </c>
    </row>
    <row r="116" spans="6:11" ht="20.25" x14ac:dyDescent="0.25">
      <c r="F116" s="54" t="s">
        <v>492</v>
      </c>
      <c r="G116" s="193">
        <f>G47-G115-G117</f>
        <v>105684.32</v>
      </c>
      <c r="H116" s="193">
        <f t="shared" ref="H116:K116" si="9">H47-H115-H117</f>
        <v>113098.97250000009</v>
      </c>
      <c r="I116" s="193">
        <f t="shared" si="9"/>
        <v>124320.71349999995</v>
      </c>
      <c r="J116" s="193">
        <f t="shared" si="9"/>
        <v>141209.50709999993</v>
      </c>
      <c r="K116" s="193">
        <f t="shared" si="9"/>
        <v>149051.38</v>
      </c>
    </row>
    <row r="117" spans="6:11" ht="20.25" x14ac:dyDescent="0.25">
      <c r="F117" s="54" t="s">
        <v>124</v>
      </c>
      <c r="G117" s="193">
        <f>G36</f>
        <v>25080</v>
      </c>
      <c r="H117" s="193">
        <f t="shared" ref="H117:K117" si="10">H36</f>
        <v>24029.68</v>
      </c>
      <c r="I117" s="193">
        <f t="shared" si="10"/>
        <v>31769</v>
      </c>
      <c r="J117" s="193">
        <f t="shared" si="10"/>
        <v>30384</v>
      </c>
      <c r="K117" s="193">
        <f t="shared" si="10"/>
        <v>30834</v>
      </c>
    </row>
  </sheetData>
  <mergeCells count="8">
    <mergeCell ref="D35:F35"/>
    <mergeCell ref="D52:F52"/>
    <mergeCell ref="D28:F28"/>
    <mergeCell ref="D29:F29"/>
    <mergeCell ref="D30:F30"/>
    <mergeCell ref="D32:F32"/>
    <mergeCell ref="D33:F33"/>
    <mergeCell ref="D34:F3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FF283-F7AD-43EB-805C-C06A10813205}">
  <sheetPr>
    <tabColor rgb="FFFF0000"/>
  </sheetPr>
  <dimension ref="A1:AD111"/>
  <sheetViews>
    <sheetView topLeftCell="A57" workbookViewId="0">
      <selection activeCell="F95" sqref="F95"/>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7.125" style="45" customWidth="1"/>
    <col min="7" max="7" width="22.375" customWidth="1"/>
    <col min="8" max="8" width="1.75" customWidth="1"/>
    <col min="9" max="9" width="22.25" customWidth="1"/>
    <col min="10" max="10" width="10" bestFit="1" customWidth="1"/>
    <col min="11" max="11" width="9" style="258"/>
    <col min="12" max="12" width="11.5" style="157" bestFit="1" customWidth="1"/>
    <col min="13" max="13" width="9" style="258"/>
    <col min="246" max="246" width="2.875" customWidth="1"/>
    <col min="247" max="247" width="8.125" customWidth="1"/>
    <col min="248" max="248" width="8.75" customWidth="1"/>
    <col min="249" max="249" width="11" customWidth="1"/>
    <col min="250" max="250" width="2.875" customWidth="1"/>
    <col min="251" max="251" width="77.625" customWidth="1"/>
    <col min="252" max="252" width="20.875" customWidth="1"/>
    <col min="502" max="502" width="2.875" customWidth="1"/>
    <col min="503" max="503" width="8.125" customWidth="1"/>
    <col min="504" max="504" width="8.75" customWidth="1"/>
    <col min="505" max="505" width="11" customWidth="1"/>
    <col min="506" max="506" width="2.875" customWidth="1"/>
    <col min="507" max="507" width="77.625" customWidth="1"/>
    <col min="508" max="508" width="20.875" customWidth="1"/>
    <col min="758" max="758" width="2.875" customWidth="1"/>
    <col min="759" max="759" width="8.125" customWidth="1"/>
    <col min="760" max="760" width="8.75" customWidth="1"/>
    <col min="761" max="761" width="11" customWidth="1"/>
    <col min="762" max="762" width="2.875" customWidth="1"/>
    <col min="763" max="763" width="77.625" customWidth="1"/>
    <col min="764" max="764" width="20.875" customWidth="1"/>
    <col min="1014" max="1014" width="2.875" customWidth="1"/>
    <col min="1015" max="1015" width="8.125" customWidth="1"/>
    <col min="1016" max="1016" width="8.75" customWidth="1"/>
    <col min="1017" max="1017" width="11" customWidth="1"/>
    <col min="1018" max="1018" width="2.875" customWidth="1"/>
    <col min="1019" max="1019" width="77.625" customWidth="1"/>
    <col min="1020" max="1020" width="20.875" customWidth="1"/>
    <col min="1270" max="1270" width="2.875" customWidth="1"/>
    <col min="1271" max="1271" width="8.125" customWidth="1"/>
    <col min="1272" max="1272" width="8.75" customWidth="1"/>
    <col min="1273" max="1273" width="11" customWidth="1"/>
    <col min="1274" max="1274" width="2.875" customWidth="1"/>
    <col min="1275" max="1275" width="77.625" customWidth="1"/>
    <col min="1276" max="1276" width="20.875" customWidth="1"/>
    <col min="1526" max="1526" width="2.875" customWidth="1"/>
    <col min="1527" max="1527" width="8.125" customWidth="1"/>
    <col min="1528" max="1528" width="8.75" customWidth="1"/>
    <col min="1529" max="1529" width="11" customWidth="1"/>
    <col min="1530" max="1530" width="2.875" customWidth="1"/>
    <col min="1531" max="1531" width="77.625" customWidth="1"/>
    <col min="1532" max="1532" width="20.875" customWidth="1"/>
    <col min="1782" max="1782" width="2.875" customWidth="1"/>
    <col min="1783" max="1783" width="8.125" customWidth="1"/>
    <col min="1784" max="1784" width="8.75" customWidth="1"/>
    <col min="1785" max="1785" width="11" customWidth="1"/>
    <col min="1786" max="1786" width="2.875" customWidth="1"/>
    <col min="1787" max="1787" width="77.625" customWidth="1"/>
    <col min="1788" max="1788" width="20.875" customWidth="1"/>
    <col min="2038" max="2038" width="2.875" customWidth="1"/>
    <col min="2039" max="2039" width="8.125" customWidth="1"/>
    <col min="2040" max="2040" width="8.75" customWidth="1"/>
    <col min="2041" max="2041" width="11" customWidth="1"/>
    <col min="2042" max="2042" width="2.875" customWidth="1"/>
    <col min="2043" max="2043" width="77.625" customWidth="1"/>
    <col min="2044" max="2044" width="20.875" customWidth="1"/>
    <col min="2294" max="2294" width="2.875" customWidth="1"/>
    <col min="2295" max="2295" width="8.125" customWidth="1"/>
    <col min="2296" max="2296" width="8.75" customWidth="1"/>
    <col min="2297" max="2297" width="11" customWidth="1"/>
    <col min="2298" max="2298" width="2.875" customWidth="1"/>
    <col min="2299" max="2299" width="77.625" customWidth="1"/>
    <col min="2300" max="2300" width="20.875" customWidth="1"/>
    <col min="2550" max="2550" width="2.875" customWidth="1"/>
    <col min="2551" max="2551" width="8.125" customWidth="1"/>
    <col min="2552" max="2552" width="8.75" customWidth="1"/>
    <col min="2553" max="2553" width="11" customWidth="1"/>
    <col min="2554" max="2554" width="2.875" customWidth="1"/>
    <col min="2555" max="2555" width="77.625" customWidth="1"/>
    <col min="2556" max="2556" width="20.875" customWidth="1"/>
    <col min="2806" max="2806" width="2.875" customWidth="1"/>
    <col min="2807" max="2807" width="8.125" customWidth="1"/>
    <col min="2808" max="2808" width="8.75" customWidth="1"/>
    <col min="2809" max="2809" width="11" customWidth="1"/>
    <col min="2810" max="2810" width="2.875" customWidth="1"/>
    <col min="2811" max="2811" width="77.625" customWidth="1"/>
    <col min="2812" max="2812" width="20.875" customWidth="1"/>
    <col min="3062" max="3062" width="2.875" customWidth="1"/>
    <col min="3063" max="3063" width="8.125" customWidth="1"/>
    <col min="3064" max="3064" width="8.75" customWidth="1"/>
    <col min="3065" max="3065" width="11" customWidth="1"/>
    <col min="3066" max="3066" width="2.875" customWidth="1"/>
    <col min="3067" max="3067" width="77.625" customWidth="1"/>
    <col min="3068" max="3068" width="20.875" customWidth="1"/>
    <col min="3318" max="3318" width="2.875" customWidth="1"/>
    <col min="3319" max="3319" width="8.125" customWidth="1"/>
    <col min="3320" max="3320" width="8.75" customWidth="1"/>
    <col min="3321" max="3321" width="11" customWidth="1"/>
    <col min="3322" max="3322" width="2.875" customWidth="1"/>
    <col min="3323" max="3323" width="77.625" customWidth="1"/>
    <col min="3324" max="3324" width="20.875" customWidth="1"/>
    <col min="3574" max="3574" width="2.875" customWidth="1"/>
    <col min="3575" max="3575" width="8.125" customWidth="1"/>
    <col min="3576" max="3576" width="8.75" customWidth="1"/>
    <col min="3577" max="3577" width="11" customWidth="1"/>
    <col min="3578" max="3578" width="2.875" customWidth="1"/>
    <col min="3579" max="3579" width="77.625" customWidth="1"/>
    <col min="3580" max="3580" width="20.875" customWidth="1"/>
    <col min="3830" max="3830" width="2.875" customWidth="1"/>
    <col min="3831" max="3831" width="8.125" customWidth="1"/>
    <col min="3832" max="3832" width="8.75" customWidth="1"/>
    <col min="3833" max="3833" width="11" customWidth="1"/>
    <col min="3834" max="3834" width="2.875" customWidth="1"/>
    <col min="3835" max="3835" width="77.625" customWidth="1"/>
    <col min="3836" max="3836" width="20.875" customWidth="1"/>
    <col min="4086" max="4086" width="2.875" customWidth="1"/>
    <col min="4087" max="4087" width="8.125" customWidth="1"/>
    <col min="4088" max="4088" width="8.75" customWidth="1"/>
    <col min="4089" max="4089" width="11" customWidth="1"/>
    <col min="4090" max="4090" width="2.875" customWidth="1"/>
    <col min="4091" max="4091" width="77.625" customWidth="1"/>
    <col min="4092" max="4092" width="20.875" customWidth="1"/>
    <col min="4342" max="4342" width="2.875" customWidth="1"/>
    <col min="4343" max="4343" width="8.125" customWidth="1"/>
    <col min="4344" max="4344" width="8.75" customWidth="1"/>
    <col min="4345" max="4345" width="11" customWidth="1"/>
    <col min="4346" max="4346" width="2.875" customWidth="1"/>
    <col min="4347" max="4347" width="77.625" customWidth="1"/>
    <col min="4348" max="4348" width="20.875" customWidth="1"/>
    <col min="4598" max="4598" width="2.875" customWidth="1"/>
    <col min="4599" max="4599" width="8.125" customWidth="1"/>
    <col min="4600" max="4600" width="8.75" customWidth="1"/>
    <col min="4601" max="4601" width="11" customWidth="1"/>
    <col min="4602" max="4602" width="2.875" customWidth="1"/>
    <col min="4603" max="4603" width="77.625" customWidth="1"/>
    <col min="4604" max="4604" width="20.875" customWidth="1"/>
    <col min="4854" max="4854" width="2.875" customWidth="1"/>
    <col min="4855" max="4855" width="8.125" customWidth="1"/>
    <col min="4856" max="4856" width="8.75" customWidth="1"/>
    <col min="4857" max="4857" width="11" customWidth="1"/>
    <col min="4858" max="4858" width="2.875" customWidth="1"/>
    <col min="4859" max="4859" width="77.625" customWidth="1"/>
    <col min="4860" max="4860" width="20.875" customWidth="1"/>
    <col min="5110" max="5110" width="2.875" customWidth="1"/>
    <col min="5111" max="5111" width="8.125" customWidth="1"/>
    <col min="5112" max="5112" width="8.75" customWidth="1"/>
    <col min="5113" max="5113" width="11" customWidth="1"/>
    <col min="5114" max="5114" width="2.875" customWidth="1"/>
    <col min="5115" max="5115" width="77.625" customWidth="1"/>
    <col min="5116" max="5116" width="20.875" customWidth="1"/>
    <col min="5366" max="5366" width="2.875" customWidth="1"/>
    <col min="5367" max="5367" width="8.125" customWidth="1"/>
    <col min="5368" max="5368" width="8.75" customWidth="1"/>
    <col min="5369" max="5369" width="11" customWidth="1"/>
    <col min="5370" max="5370" width="2.875" customWidth="1"/>
    <col min="5371" max="5371" width="77.625" customWidth="1"/>
    <col min="5372" max="5372" width="20.875" customWidth="1"/>
    <col min="5622" max="5622" width="2.875" customWidth="1"/>
    <col min="5623" max="5623" width="8.125" customWidth="1"/>
    <col min="5624" max="5624" width="8.75" customWidth="1"/>
    <col min="5625" max="5625" width="11" customWidth="1"/>
    <col min="5626" max="5626" width="2.875" customWidth="1"/>
    <col min="5627" max="5627" width="77.625" customWidth="1"/>
    <col min="5628" max="5628" width="20.875" customWidth="1"/>
    <col min="5878" max="5878" width="2.875" customWidth="1"/>
    <col min="5879" max="5879" width="8.125" customWidth="1"/>
    <col min="5880" max="5880" width="8.75" customWidth="1"/>
    <col min="5881" max="5881" width="11" customWidth="1"/>
    <col min="5882" max="5882" width="2.875" customWidth="1"/>
    <col min="5883" max="5883" width="77.625" customWidth="1"/>
    <col min="5884" max="5884" width="20.875" customWidth="1"/>
    <col min="6134" max="6134" width="2.875" customWidth="1"/>
    <col min="6135" max="6135" width="8.125" customWidth="1"/>
    <col min="6136" max="6136" width="8.75" customWidth="1"/>
    <col min="6137" max="6137" width="11" customWidth="1"/>
    <col min="6138" max="6138" width="2.875" customWidth="1"/>
    <col min="6139" max="6139" width="77.625" customWidth="1"/>
    <col min="6140" max="6140" width="20.875" customWidth="1"/>
    <col min="6390" max="6390" width="2.875" customWidth="1"/>
    <col min="6391" max="6391" width="8.125" customWidth="1"/>
    <col min="6392" max="6392" width="8.75" customWidth="1"/>
    <col min="6393" max="6393" width="11" customWidth="1"/>
    <col min="6394" max="6394" width="2.875" customWidth="1"/>
    <col min="6395" max="6395" width="77.625" customWidth="1"/>
    <col min="6396" max="6396" width="20.875" customWidth="1"/>
    <col min="6646" max="6646" width="2.875" customWidth="1"/>
    <col min="6647" max="6647" width="8.125" customWidth="1"/>
    <col min="6648" max="6648" width="8.75" customWidth="1"/>
    <col min="6649" max="6649" width="11" customWidth="1"/>
    <col min="6650" max="6650" width="2.875" customWidth="1"/>
    <col min="6651" max="6651" width="77.625" customWidth="1"/>
    <col min="6652" max="6652" width="20.875" customWidth="1"/>
    <col min="6902" max="6902" width="2.875" customWidth="1"/>
    <col min="6903" max="6903" width="8.125" customWidth="1"/>
    <col min="6904" max="6904" width="8.75" customWidth="1"/>
    <col min="6905" max="6905" width="11" customWidth="1"/>
    <col min="6906" max="6906" width="2.875" customWidth="1"/>
    <col min="6907" max="6907" width="77.625" customWidth="1"/>
    <col min="6908" max="6908" width="20.875" customWidth="1"/>
    <col min="7158" max="7158" width="2.875" customWidth="1"/>
    <col min="7159" max="7159" width="8.125" customWidth="1"/>
    <col min="7160" max="7160" width="8.75" customWidth="1"/>
    <col min="7161" max="7161" width="11" customWidth="1"/>
    <col min="7162" max="7162" width="2.875" customWidth="1"/>
    <col min="7163" max="7163" width="77.625" customWidth="1"/>
    <col min="7164" max="7164" width="20.875" customWidth="1"/>
    <col min="7414" max="7414" width="2.875" customWidth="1"/>
    <col min="7415" max="7415" width="8.125" customWidth="1"/>
    <col min="7416" max="7416" width="8.75" customWidth="1"/>
    <col min="7417" max="7417" width="11" customWidth="1"/>
    <col min="7418" max="7418" width="2.875" customWidth="1"/>
    <col min="7419" max="7419" width="77.625" customWidth="1"/>
    <col min="7420" max="7420" width="20.875" customWidth="1"/>
    <col min="7670" max="7670" width="2.875" customWidth="1"/>
    <col min="7671" max="7671" width="8.125" customWidth="1"/>
    <col min="7672" max="7672" width="8.75" customWidth="1"/>
    <col min="7673" max="7673" width="11" customWidth="1"/>
    <col min="7674" max="7674" width="2.875" customWidth="1"/>
    <col min="7675" max="7675" width="77.625" customWidth="1"/>
    <col min="7676" max="7676" width="20.875" customWidth="1"/>
    <col min="7926" max="7926" width="2.875" customWidth="1"/>
    <col min="7927" max="7927" width="8.125" customWidth="1"/>
    <col min="7928" max="7928" width="8.75" customWidth="1"/>
    <col min="7929" max="7929" width="11" customWidth="1"/>
    <col min="7930" max="7930" width="2.875" customWidth="1"/>
    <col min="7931" max="7931" width="77.625" customWidth="1"/>
    <col min="7932" max="7932" width="20.875" customWidth="1"/>
    <col min="8182" max="8182" width="2.875" customWidth="1"/>
    <col min="8183" max="8183" width="8.125" customWidth="1"/>
    <col min="8184" max="8184" width="8.75" customWidth="1"/>
    <col min="8185" max="8185" width="11" customWidth="1"/>
    <col min="8186" max="8186" width="2.875" customWidth="1"/>
    <col min="8187" max="8187" width="77.625" customWidth="1"/>
    <col min="8188" max="8188" width="20.875" customWidth="1"/>
    <col min="8438" max="8438" width="2.875" customWidth="1"/>
    <col min="8439" max="8439" width="8.125" customWidth="1"/>
    <col min="8440" max="8440" width="8.75" customWidth="1"/>
    <col min="8441" max="8441" width="11" customWidth="1"/>
    <col min="8442" max="8442" width="2.875" customWidth="1"/>
    <col min="8443" max="8443" width="77.625" customWidth="1"/>
    <col min="8444" max="8444" width="20.875" customWidth="1"/>
    <col min="8694" max="8694" width="2.875" customWidth="1"/>
    <col min="8695" max="8695" width="8.125" customWidth="1"/>
    <col min="8696" max="8696" width="8.75" customWidth="1"/>
    <col min="8697" max="8697" width="11" customWidth="1"/>
    <col min="8698" max="8698" width="2.875" customWidth="1"/>
    <col min="8699" max="8699" width="77.625" customWidth="1"/>
    <col min="8700" max="8700" width="20.875" customWidth="1"/>
    <col min="8950" max="8950" width="2.875" customWidth="1"/>
    <col min="8951" max="8951" width="8.125" customWidth="1"/>
    <col min="8952" max="8952" width="8.75" customWidth="1"/>
    <col min="8953" max="8953" width="11" customWidth="1"/>
    <col min="8954" max="8954" width="2.875" customWidth="1"/>
    <col min="8955" max="8955" width="77.625" customWidth="1"/>
    <col min="8956" max="8956" width="20.875" customWidth="1"/>
    <col min="9206" max="9206" width="2.875" customWidth="1"/>
    <col min="9207" max="9207" width="8.125" customWidth="1"/>
    <col min="9208" max="9208" width="8.75" customWidth="1"/>
    <col min="9209" max="9209" width="11" customWidth="1"/>
    <col min="9210" max="9210" width="2.875" customWidth="1"/>
    <col min="9211" max="9211" width="77.625" customWidth="1"/>
    <col min="9212" max="9212" width="20.875" customWidth="1"/>
    <col min="9462" max="9462" width="2.875" customWidth="1"/>
    <col min="9463" max="9463" width="8.125" customWidth="1"/>
    <col min="9464" max="9464" width="8.75" customWidth="1"/>
    <col min="9465" max="9465" width="11" customWidth="1"/>
    <col min="9466" max="9466" width="2.875" customWidth="1"/>
    <col min="9467" max="9467" width="77.625" customWidth="1"/>
    <col min="9468" max="9468" width="20.875" customWidth="1"/>
    <col min="9718" max="9718" width="2.875" customWidth="1"/>
    <col min="9719" max="9719" width="8.125" customWidth="1"/>
    <col min="9720" max="9720" width="8.75" customWidth="1"/>
    <col min="9721" max="9721" width="11" customWidth="1"/>
    <col min="9722" max="9722" width="2.875" customWidth="1"/>
    <col min="9723" max="9723" width="77.625" customWidth="1"/>
    <col min="9724" max="9724" width="20.875" customWidth="1"/>
    <col min="9974" max="9974" width="2.875" customWidth="1"/>
    <col min="9975" max="9975" width="8.125" customWidth="1"/>
    <col min="9976" max="9976" width="8.75" customWidth="1"/>
    <col min="9977" max="9977" width="11" customWidth="1"/>
    <col min="9978" max="9978" width="2.875" customWidth="1"/>
    <col min="9979" max="9979" width="77.625" customWidth="1"/>
    <col min="9980" max="9980" width="20.875" customWidth="1"/>
    <col min="10230" max="10230" width="2.875" customWidth="1"/>
    <col min="10231" max="10231" width="8.125" customWidth="1"/>
    <col min="10232" max="10232" width="8.75" customWidth="1"/>
    <col min="10233" max="10233" width="11" customWidth="1"/>
    <col min="10234" max="10234" width="2.875" customWidth="1"/>
    <col min="10235" max="10235" width="77.625" customWidth="1"/>
    <col min="10236" max="10236" width="20.875" customWidth="1"/>
    <col min="10486" max="10486" width="2.875" customWidth="1"/>
    <col min="10487" max="10487" width="8.125" customWidth="1"/>
    <col min="10488" max="10488" width="8.75" customWidth="1"/>
    <col min="10489" max="10489" width="11" customWidth="1"/>
    <col min="10490" max="10490" width="2.875" customWidth="1"/>
    <col min="10491" max="10491" width="77.625" customWidth="1"/>
    <col min="10492" max="10492" width="20.875" customWidth="1"/>
    <col min="10742" max="10742" width="2.875" customWidth="1"/>
    <col min="10743" max="10743" width="8.125" customWidth="1"/>
    <col min="10744" max="10744" width="8.75" customWidth="1"/>
    <col min="10745" max="10745" width="11" customWidth="1"/>
    <col min="10746" max="10746" width="2.875" customWidth="1"/>
    <col min="10747" max="10747" width="77.625" customWidth="1"/>
    <col min="10748" max="10748" width="20.875" customWidth="1"/>
    <col min="10998" max="10998" width="2.875" customWidth="1"/>
    <col min="10999" max="10999" width="8.125" customWidth="1"/>
    <col min="11000" max="11000" width="8.75" customWidth="1"/>
    <col min="11001" max="11001" width="11" customWidth="1"/>
    <col min="11002" max="11002" width="2.875" customWidth="1"/>
    <col min="11003" max="11003" width="77.625" customWidth="1"/>
    <col min="11004" max="11004" width="20.875" customWidth="1"/>
    <col min="11254" max="11254" width="2.875" customWidth="1"/>
    <col min="11255" max="11255" width="8.125" customWidth="1"/>
    <col min="11256" max="11256" width="8.75" customWidth="1"/>
    <col min="11257" max="11257" width="11" customWidth="1"/>
    <col min="11258" max="11258" width="2.875" customWidth="1"/>
    <col min="11259" max="11259" width="77.625" customWidth="1"/>
    <col min="11260" max="11260" width="20.875" customWidth="1"/>
    <col min="11510" max="11510" width="2.875" customWidth="1"/>
    <col min="11511" max="11511" width="8.125" customWidth="1"/>
    <col min="11512" max="11512" width="8.75" customWidth="1"/>
    <col min="11513" max="11513" width="11" customWidth="1"/>
    <col min="11514" max="11514" width="2.875" customWidth="1"/>
    <col min="11515" max="11515" width="77.625" customWidth="1"/>
    <col min="11516" max="11516" width="20.875" customWidth="1"/>
    <col min="11766" max="11766" width="2.875" customWidth="1"/>
    <col min="11767" max="11767" width="8.125" customWidth="1"/>
    <col min="11768" max="11768" width="8.75" customWidth="1"/>
    <col min="11769" max="11769" width="11" customWidth="1"/>
    <col min="11770" max="11770" width="2.875" customWidth="1"/>
    <col min="11771" max="11771" width="77.625" customWidth="1"/>
    <col min="11772" max="11772" width="20.875" customWidth="1"/>
    <col min="12022" max="12022" width="2.875" customWidth="1"/>
    <col min="12023" max="12023" width="8.125" customWidth="1"/>
    <col min="12024" max="12024" width="8.75" customWidth="1"/>
    <col min="12025" max="12025" width="11" customWidth="1"/>
    <col min="12026" max="12026" width="2.875" customWidth="1"/>
    <col min="12027" max="12027" width="77.625" customWidth="1"/>
    <col min="12028" max="12028" width="20.875" customWidth="1"/>
    <col min="12278" max="12278" width="2.875" customWidth="1"/>
    <col min="12279" max="12279" width="8.125" customWidth="1"/>
    <col min="12280" max="12280" width="8.75" customWidth="1"/>
    <col min="12281" max="12281" width="11" customWidth="1"/>
    <col min="12282" max="12282" width="2.875" customWidth="1"/>
    <col min="12283" max="12283" width="77.625" customWidth="1"/>
    <col min="12284" max="12284" width="20.875" customWidth="1"/>
    <col min="12534" max="12534" width="2.875" customWidth="1"/>
    <col min="12535" max="12535" width="8.125" customWidth="1"/>
    <col min="12536" max="12536" width="8.75" customWidth="1"/>
    <col min="12537" max="12537" width="11" customWidth="1"/>
    <col min="12538" max="12538" width="2.875" customWidth="1"/>
    <col min="12539" max="12539" width="77.625" customWidth="1"/>
    <col min="12540" max="12540" width="20.875" customWidth="1"/>
    <col min="12790" max="12790" width="2.875" customWidth="1"/>
    <col min="12791" max="12791" width="8.125" customWidth="1"/>
    <col min="12792" max="12792" width="8.75" customWidth="1"/>
    <col min="12793" max="12793" width="11" customWidth="1"/>
    <col min="12794" max="12794" width="2.875" customWidth="1"/>
    <col min="12795" max="12795" width="77.625" customWidth="1"/>
    <col min="12796" max="12796" width="20.875" customWidth="1"/>
    <col min="13046" max="13046" width="2.875" customWidth="1"/>
    <col min="13047" max="13047" width="8.125" customWidth="1"/>
    <col min="13048" max="13048" width="8.75" customWidth="1"/>
    <col min="13049" max="13049" width="11" customWidth="1"/>
    <col min="13050" max="13050" width="2.875" customWidth="1"/>
    <col min="13051" max="13051" width="77.625" customWidth="1"/>
    <col min="13052" max="13052" width="20.875" customWidth="1"/>
    <col min="13302" max="13302" width="2.875" customWidth="1"/>
    <col min="13303" max="13303" width="8.125" customWidth="1"/>
    <col min="13304" max="13304" width="8.75" customWidth="1"/>
    <col min="13305" max="13305" width="11" customWidth="1"/>
    <col min="13306" max="13306" width="2.875" customWidth="1"/>
    <col min="13307" max="13307" width="77.625" customWidth="1"/>
    <col min="13308" max="13308" width="20.875" customWidth="1"/>
    <col min="13558" max="13558" width="2.875" customWidth="1"/>
    <col min="13559" max="13559" width="8.125" customWidth="1"/>
    <col min="13560" max="13560" width="8.75" customWidth="1"/>
    <col min="13561" max="13561" width="11" customWidth="1"/>
    <col min="13562" max="13562" width="2.875" customWidth="1"/>
    <col min="13563" max="13563" width="77.625" customWidth="1"/>
    <col min="13564" max="13564" width="20.875" customWidth="1"/>
    <col min="13814" max="13814" width="2.875" customWidth="1"/>
    <col min="13815" max="13815" width="8.125" customWidth="1"/>
    <col min="13816" max="13816" width="8.75" customWidth="1"/>
    <col min="13817" max="13817" width="11" customWidth="1"/>
    <col min="13818" max="13818" width="2.875" customWidth="1"/>
    <col min="13819" max="13819" width="77.625" customWidth="1"/>
    <col min="13820" max="13820" width="20.875" customWidth="1"/>
    <col min="14070" max="14070" width="2.875" customWidth="1"/>
    <col min="14071" max="14071" width="8.125" customWidth="1"/>
    <col min="14072" max="14072" width="8.75" customWidth="1"/>
    <col min="14073" max="14073" width="11" customWidth="1"/>
    <col min="14074" max="14074" width="2.875" customWidth="1"/>
    <col min="14075" max="14075" width="77.625" customWidth="1"/>
    <col min="14076" max="14076" width="20.875" customWidth="1"/>
    <col min="14326" max="14326" width="2.875" customWidth="1"/>
    <col min="14327" max="14327" width="8.125" customWidth="1"/>
    <col min="14328" max="14328" width="8.75" customWidth="1"/>
    <col min="14329" max="14329" width="11" customWidth="1"/>
    <col min="14330" max="14330" width="2.875" customWidth="1"/>
    <col min="14331" max="14331" width="77.625" customWidth="1"/>
    <col min="14332" max="14332" width="20.875" customWidth="1"/>
    <col min="14582" max="14582" width="2.875" customWidth="1"/>
    <col min="14583" max="14583" width="8.125" customWidth="1"/>
    <col min="14584" max="14584" width="8.75" customWidth="1"/>
    <col min="14585" max="14585" width="11" customWidth="1"/>
    <col min="14586" max="14586" width="2.875" customWidth="1"/>
    <col min="14587" max="14587" width="77.625" customWidth="1"/>
    <col min="14588" max="14588" width="20.875" customWidth="1"/>
    <col min="14838" max="14838" width="2.875" customWidth="1"/>
    <col min="14839" max="14839" width="8.125" customWidth="1"/>
    <col min="14840" max="14840" width="8.75" customWidth="1"/>
    <col min="14841" max="14841" width="11" customWidth="1"/>
    <col min="14842" max="14842" width="2.875" customWidth="1"/>
    <col min="14843" max="14843" width="77.625" customWidth="1"/>
    <col min="14844" max="14844" width="20.875" customWidth="1"/>
    <col min="15094" max="15094" width="2.875" customWidth="1"/>
    <col min="15095" max="15095" width="8.125" customWidth="1"/>
    <col min="15096" max="15096" width="8.75" customWidth="1"/>
    <col min="15097" max="15097" width="11" customWidth="1"/>
    <col min="15098" max="15098" width="2.875" customWidth="1"/>
    <col min="15099" max="15099" width="77.625" customWidth="1"/>
    <col min="15100" max="15100" width="20.875" customWidth="1"/>
    <col min="15350" max="15350" width="2.875" customWidth="1"/>
    <col min="15351" max="15351" width="8.125" customWidth="1"/>
    <col min="15352" max="15352" width="8.75" customWidth="1"/>
    <col min="15353" max="15353" width="11" customWidth="1"/>
    <col min="15354" max="15354" width="2.875" customWidth="1"/>
    <col min="15355" max="15355" width="77.625" customWidth="1"/>
    <col min="15356" max="15356" width="20.875" customWidth="1"/>
    <col min="15606" max="15606" width="2.875" customWidth="1"/>
    <col min="15607" max="15607" width="8.125" customWidth="1"/>
    <col min="15608" max="15608" width="8.75" customWidth="1"/>
    <col min="15609" max="15609" width="11" customWidth="1"/>
    <col min="15610" max="15610" width="2.875" customWidth="1"/>
    <col min="15611" max="15611" width="77.625" customWidth="1"/>
    <col min="15612" max="15612" width="20.875" customWidth="1"/>
    <col min="15862" max="15862" width="2.875" customWidth="1"/>
    <col min="15863" max="15863" width="8.125" customWidth="1"/>
    <col min="15864" max="15864" width="8.75" customWidth="1"/>
    <col min="15865" max="15865" width="11" customWidth="1"/>
    <col min="15866" max="15866" width="2.875" customWidth="1"/>
    <col min="15867" max="15867" width="77.625" customWidth="1"/>
    <col min="15868" max="15868" width="20.875" customWidth="1"/>
    <col min="16118" max="16118" width="2.875" customWidth="1"/>
    <col min="16119" max="16119" width="8.125" customWidth="1"/>
    <col min="16120" max="16120" width="8.75" customWidth="1"/>
    <col min="16121" max="16121" width="11" customWidth="1"/>
    <col min="16122" max="16122" width="2.875" customWidth="1"/>
    <col min="16123" max="16123" width="77.625" customWidth="1"/>
    <col min="16124" max="16124" width="20.875" customWidth="1"/>
  </cols>
  <sheetData>
    <row r="1" spans="1:30" ht="22.5" customHeight="1" x14ac:dyDescent="0.4">
      <c r="A1" s="46" t="s">
        <v>93</v>
      </c>
      <c r="B1" s="47"/>
      <c r="C1" s="48"/>
      <c r="D1" s="48"/>
      <c r="E1" s="48"/>
      <c r="F1" s="47"/>
      <c r="G1" s="47"/>
      <c r="H1" s="47"/>
      <c r="I1" s="47"/>
      <c r="J1" s="47"/>
      <c r="K1" s="663"/>
      <c r="M1" s="663"/>
      <c r="N1" s="47"/>
      <c r="O1" s="47"/>
      <c r="P1" s="47"/>
      <c r="Q1" s="47"/>
      <c r="R1" s="47"/>
      <c r="S1" s="47"/>
      <c r="T1" s="47"/>
      <c r="U1" s="47"/>
      <c r="V1" s="47"/>
      <c r="W1" s="47"/>
      <c r="X1" s="47"/>
      <c r="Y1" s="47"/>
      <c r="Z1" s="47"/>
      <c r="AA1" s="47"/>
      <c r="AB1" s="47"/>
      <c r="AC1" s="47"/>
      <c r="AD1" s="47"/>
    </row>
    <row r="2" spans="1:30" ht="22.5" customHeight="1" x14ac:dyDescent="0.4">
      <c r="A2" s="46" t="s">
        <v>471</v>
      </c>
      <c r="B2" s="47"/>
      <c r="C2" s="48"/>
      <c r="D2" s="48"/>
      <c r="E2" s="48"/>
      <c r="F2" s="47"/>
      <c r="G2" s="47"/>
      <c r="H2" s="47"/>
      <c r="I2" s="47"/>
      <c r="J2" s="47"/>
      <c r="K2" s="663"/>
      <c r="M2" s="663"/>
      <c r="N2" s="47"/>
      <c r="O2" s="47"/>
      <c r="P2" s="47"/>
      <c r="Q2" s="47"/>
      <c r="R2" s="47"/>
      <c r="S2" s="47"/>
      <c r="T2" s="47"/>
      <c r="U2" s="47"/>
      <c r="V2" s="47"/>
      <c r="W2" s="47"/>
      <c r="X2" s="47"/>
      <c r="Y2" s="47"/>
      <c r="Z2" s="47"/>
      <c r="AA2" s="47"/>
      <c r="AB2" s="47"/>
      <c r="AC2" s="47"/>
      <c r="AD2" s="47"/>
    </row>
    <row r="3" spans="1:30" ht="22.5" customHeight="1" x14ac:dyDescent="0.4">
      <c r="A3" s="46" t="s">
        <v>603</v>
      </c>
      <c r="B3" s="47"/>
      <c r="C3" s="48"/>
      <c r="D3" s="48"/>
      <c r="E3" s="48"/>
      <c r="F3" s="47"/>
      <c r="G3" s="47"/>
      <c r="H3" s="47"/>
      <c r="I3" s="47"/>
      <c r="J3" s="47"/>
      <c r="K3" s="663"/>
      <c r="M3" s="663"/>
      <c r="N3" s="47"/>
      <c r="O3" s="47"/>
      <c r="P3" s="47"/>
      <c r="Q3" s="47"/>
      <c r="R3" s="47"/>
      <c r="S3" s="47"/>
      <c r="T3" s="47"/>
      <c r="U3" s="47"/>
      <c r="V3" s="47"/>
      <c r="W3" s="47"/>
      <c r="X3" s="47"/>
      <c r="Y3" s="47"/>
      <c r="Z3" s="47"/>
      <c r="AA3" s="47"/>
      <c r="AB3" s="47"/>
      <c r="AC3" s="47"/>
      <c r="AD3" s="47"/>
    </row>
    <row r="4" spans="1:30" s="50" customFormat="1" ht="8.25" customHeight="1" x14ac:dyDescent="0.2">
      <c r="A4" s="49"/>
      <c r="B4" s="49"/>
      <c r="C4" s="49"/>
      <c r="D4" s="49"/>
      <c r="E4" s="49"/>
      <c r="F4" s="49"/>
      <c r="K4" s="664"/>
      <c r="L4" s="665"/>
      <c r="M4" s="664"/>
    </row>
    <row r="5" spans="1:30" s="55" customFormat="1" ht="8.25" customHeight="1" thickBot="1" x14ac:dyDescent="0.25">
      <c r="A5" s="54"/>
      <c r="B5" s="54"/>
      <c r="C5" s="54"/>
      <c r="D5" s="54"/>
      <c r="E5" s="54"/>
      <c r="F5" s="54"/>
      <c r="K5" s="666"/>
      <c r="L5" s="665"/>
      <c r="M5" s="666"/>
    </row>
    <row r="6" spans="1:30" s="55" customFormat="1" ht="48" customHeight="1" thickBot="1" x14ac:dyDescent="0.25">
      <c r="A6" s="54"/>
      <c r="B6" s="667" t="s">
        <v>99</v>
      </c>
      <c r="C6" s="667"/>
      <c r="D6" s="667"/>
      <c r="E6" s="667"/>
      <c r="F6" s="667"/>
      <c r="G6" s="668" t="s">
        <v>604</v>
      </c>
      <c r="H6" s="668"/>
      <c r="I6" s="668" t="s">
        <v>605</v>
      </c>
      <c r="K6" s="666"/>
      <c r="L6" s="665"/>
      <c r="M6" s="666"/>
    </row>
    <row r="7" spans="1:30" s="55" customFormat="1" ht="20.25" x14ac:dyDescent="0.2">
      <c r="A7" s="54"/>
      <c r="B7" s="54"/>
      <c r="C7" s="58" t="s">
        <v>100</v>
      </c>
      <c r="D7" s="58"/>
      <c r="E7" s="58"/>
      <c r="F7" s="54"/>
      <c r="G7" s="202">
        <v>787392</v>
      </c>
      <c r="H7" s="202"/>
      <c r="I7" s="202">
        <v>702872</v>
      </c>
      <c r="K7" s="666"/>
      <c r="L7" s="665"/>
      <c r="M7" s="666"/>
    </row>
    <row r="8" spans="1:30" s="55" customFormat="1" ht="20.25" x14ac:dyDescent="0.2">
      <c r="A8" s="54"/>
      <c r="B8" s="54"/>
      <c r="C8" s="58" t="s">
        <v>149</v>
      </c>
      <c r="D8" s="58"/>
      <c r="E8" s="58"/>
      <c r="F8" s="54"/>
      <c r="G8" s="193">
        <v>115000</v>
      </c>
      <c r="H8" s="193"/>
      <c r="I8" s="193">
        <v>127749</v>
      </c>
      <c r="K8" s="666"/>
      <c r="L8" s="665"/>
      <c r="M8" s="666"/>
    </row>
    <row r="9" spans="1:30" s="55" customFormat="1" ht="20.25" x14ac:dyDescent="0.2">
      <c r="A9" s="54"/>
      <c r="B9" s="54"/>
      <c r="C9" s="58" t="s">
        <v>178</v>
      </c>
      <c r="D9" s="58"/>
      <c r="E9" s="58"/>
      <c r="F9" s="54"/>
      <c r="G9" s="193">
        <v>42500</v>
      </c>
      <c r="H9" s="193"/>
      <c r="I9" s="193">
        <v>42000</v>
      </c>
      <c r="K9" s="666"/>
      <c r="L9" s="665"/>
      <c r="M9" s="666"/>
    </row>
    <row r="10" spans="1:30" s="55" customFormat="1" ht="20.25" x14ac:dyDescent="0.2">
      <c r="A10" s="54"/>
      <c r="B10" s="54"/>
      <c r="C10" s="58" t="s">
        <v>101</v>
      </c>
      <c r="D10" s="58"/>
      <c r="E10" s="58"/>
      <c r="F10" s="54"/>
      <c r="G10" s="193">
        <v>0</v>
      </c>
      <c r="H10" s="193"/>
      <c r="I10" s="193"/>
      <c r="K10" s="666"/>
      <c r="L10" s="665"/>
      <c r="M10" s="666"/>
    </row>
    <row r="11" spans="1:30" s="55" customFormat="1" ht="20.25" x14ac:dyDescent="0.2">
      <c r="A11" s="54"/>
      <c r="B11" s="54"/>
      <c r="D11" s="58" t="s">
        <v>138</v>
      </c>
      <c r="E11" s="58"/>
      <c r="F11" s="54"/>
      <c r="G11" s="193">
        <f>208748+48500-42500</f>
        <v>214748</v>
      </c>
      <c r="H11" s="193"/>
      <c r="I11" s="193">
        <v>212125</v>
      </c>
      <c r="J11" s="386"/>
      <c r="K11" s="666"/>
      <c r="L11" s="669"/>
      <c r="M11" s="666"/>
    </row>
    <row r="12" spans="1:30" s="55" customFormat="1" ht="20.25" x14ac:dyDescent="0.2">
      <c r="A12" s="54"/>
      <c r="B12" s="54"/>
      <c r="D12" s="58" t="s">
        <v>158</v>
      </c>
      <c r="E12" s="58"/>
      <c r="F12" s="54"/>
      <c r="G12" s="193">
        <v>18000</v>
      </c>
      <c r="H12" s="193"/>
      <c r="I12" s="193">
        <v>18000</v>
      </c>
      <c r="J12" s="322"/>
      <c r="K12" s="666"/>
      <c r="L12" s="665"/>
      <c r="M12" s="666"/>
    </row>
    <row r="13" spans="1:30" s="55" customFormat="1" ht="20.25" x14ac:dyDescent="0.2">
      <c r="A13" s="54"/>
      <c r="B13" s="54"/>
      <c r="C13" s="58"/>
      <c r="D13" s="58" t="s">
        <v>399</v>
      </c>
      <c r="E13" s="58"/>
      <c r="F13" s="54"/>
      <c r="G13" s="193">
        <v>0</v>
      </c>
      <c r="H13" s="193"/>
      <c r="I13" s="193"/>
      <c r="J13" s="322"/>
      <c r="K13" s="666"/>
      <c r="L13" s="665"/>
      <c r="M13" s="666"/>
    </row>
    <row r="14" spans="1:30" s="55" customFormat="1" ht="20.25" x14ac:dyDescent="0.2">
      <c r="A14" s="54"/>
      <c r="B14" s="54"/>
      <c r="C14" s="58" t="s">
        <v>374</v>
      </c>
      <c r="D14" s="58"/>
      <c r="E14" s="58"/>
      <c r="F14" s="54"/>
      <c r="G14" s="193">
        <v>20000</v>
      </c>
      <c r="H14" s="193"/>
      <c r="I14" s="193">
        <v>22000</v>
      </c>
      <c r="J14" s="322"/>
      <c r="K14" s="666"/>
      <c r="L14" s="665"/>
      <c r="M14" s="666"/>
    </row>
    <row r="15" spans="1:30" s="55" customFormat="1" ht="20.25" x14ac:dyDescent="0.2">
      <c r="A15" s="54"/>
      <c r="B15" s="54"/>
      <c r="C15" s="58" t="s">
        <v>606</v>
      </c>
      <c r="D15" s="58"/>
      <c r="E15" s="58"/>
      <c r="F15" s="54"/>
      <c r="G15" s="193">
        <v>10000</v>
      </c>
      <c r="H15" s="193"/>
      <c r="I15" s="193">
        <f>29063</f>
        <v>29063</v>
      </c>
      <c r="J15" s="322"/>
      <c r="K15" s="666"/>
      <c r="L15" s="665"/>
      <c r="M15" s="666"/>
    </row>
    <row r="16" spans="1:30" s="55" customFormat="1" ht="20.25" x14ac:dyDescent="0.2">
      <c r="A16" s="54"/>
      <c r="B16" s="54"/>
      <c r="C16" s="58" t="s">
        <v>109</v>
      </c>
      <c r="D16" s="58"/>
      <c r="E16" s="58"/>
      <c r="F16" s="54"/>
      <c r="G16" s="193">
        <v>650</v>
      </c>
      <c r="H16" s="193"/>
      <c r="I16" s="193">
        <v>480</v>
      </c>
      <c r="J16" s="322"/>
      <c r="K16" s="666"/>
      <c r="L16" s="665"/>
      <c r="M16" s="666"/>
    </row>
    <row r="17" spans="1:13" s="55" customFormat="1" ht="20.25" x14ac:dyDescent="0.2">
      <c r="A17" s="54"/>
      <c r="B17" s="54"/>
      <c r="C17" s="58" t="s">
        <v>236</v>
      </c>
      <c r="D17" s="58"/>
      <c r="E17" s="58"/>
      <c r="F17" s="54"/>
      <c r="G17" s="193">
        <v>1200</v>
      </c>
      <c r="H17" s="193"/>
      <c r="I17" s="193">
        <v>2000</v>
      </c>
      <c r="J17" s="322"/>
      <c r="K17" s="666"/>
      <c r="L17" s="665"/>
      <c r="M17" s="666"/>
    </row>
    <row r="18" spans="1:13" s="55" customFormat="1" ht="20.25" x14ac:dyDescent="0.2">
      <c r="A18" s="54"/>
      <c r="B18" s="54"/>
      <c r="C18" s="58" t="s">
        <v>607</v>
      </c>
      <c r="D18" s="58"/>
      <c r="E18" s="58"/>
      <c r="F18" s="54"/>
      <c r="G18" s="193">
        <v>3000</v>
      </c>
      <c r="H18" s="193"/>
      <c r="I18" s="193">
        <v>5000</v>
      </c>
      <c r="J18" s="322"/>
      <c r="K18" s="666"/>
      <c r="L18" s="665"/>
      <c r="M18" s="666"/>
    </row>
    <row r="19" spans="1:13" s="55" customFormat="1" ht="20.25" x14ac:dyDescent="0.2">
      <c r="A19" s="54"/>
      <c r="B19" s="54"/>
      <c r="C19" s="58" t="s">
        <v>411</v>
      </c>
      <c r="D19" s="58"/>
      <c r="E19" s="58"/>
      <c r="F19" s="54"/>
      <c r="G19" s="193">
        <v>370038</v>
      </c>
      <c r="H19" s="193"/>
      <c r="I19" s="193">
        <f>153800+60000</f>
        <v>213800</v>
      </c>
      <c r="J19" s="318"/>
      <c r="K19" s="666"/>
      <c r="L19" s="665"/>
      <c r="M19" s="666"/>
    </row>
    <row r="20" spans="1:13" s="55" customFormat="1" ht="20.25" x14ac:dyDescent="0.2">
      <c r="A20" s="54"/>
      <c r="B20" s="54"/>
      <c r="C20" s="58" t="s">
        <v>108</v>
      </c>
      <c r="D20" s="591"/>
      <c r="E20" s="591"/>
      <c r="F20" s="591"/>
      <c r="G20" s="193">
        <v>52740</v>
      </c>
      <c r="H20" s="193"/>
      <c r="I20" s="193">
        <v>52740</v>
      </c>
      <c r="J20" s="318"/>
      <c r="K20" s="666"/>
      <c r="L20" s="665"/>
      <c r="M20" s="666"/>
    </row>
    <row r="21" spans="1:13" s="55" customFormat="1" ht="20.25" x14ac:dyDescent="0.2">
      <c r="A21" s="54"/>
      <c r="B21" s="54"/>
      <c r="C21" s="58" t="s">
        <v>414</v>
      </c>
      <c r="D21" s="591"/>
      <c r="E21" s="591"/>
      <c r="F21" s="591"/>
      <c r="G21" s="193">
        <v>17250</v>
      </c>
      <c r="H21" s="193"/>
      <c r="I21" s="193">
        <f>10683+5000+1800</f>
        <v>17483</v>
      </c>
      <c r="J21" s="318"/>
      <c r="K21" s="666"/>
      <c r="L21" s="665"/>
      <c r="M21" s="666"/>
    </row>
    <row r="22" spans="1:13" s="55" customFormat="1" ht="20.25" x14ac:dyDescent="0.2">
      <c r="A22" s="54"/>
      <c r="B22" s="54"/>
      <c r="C22" s="58" t="s">
        <v>101</v>
      </c>
      <c r="D22" s="591"/>
      <c r="E22" s="591"/>
      <c r="F22" s="591"/>
      <c r="G22" s="193">
        <v>21000</v>
      </c>
      <c r="H22" s="193"/>
      <c r="I22" s="193">
        <v>21000</v>
      </c>
      <c r="J22" s="318"/>
      <c r="K22" s="666"/>
      <c r="L22" s="665"/>
      <c r="M22" s="666"/>
    </row>
    <row r="23" spans="1:13" s="55" customFormat="1" ht="20.25" x14ac:dyDescent="0.2">
      <c r="A23" s="54"/>
      <c r="B23" s="54"/>
      <c r="C23" s="58" t="s">
        <v>317</v>
      </c>
      <c r="D23" s="591"/>
      <c r="E23" s="591"/>
      <c r="F23" s="591"/>
      <c r="G23" s="193">
        <v>54000</v>
      </c>
      <c r="H23" s="193"/>
      <c r="I23" s="193">
        <v>52000</v>
      </c>
      <c r="J23" s="318"/>
      <c r="K23" s="666"/>
      <c r="L23" s="665"/>
      <c r="M23" s="666"/>
    </row>
    <row r="24" spans="1:13" s="55" customFormat="1" ht="20.25" x14ac:dyDescent="0.2">
      <c r="A24" s="54"/>
      <c r="B24" s="54"/>
      <c r="C24" s="58" t="s">
        <v>319</v>
      </c>
      <c r="D24" s="591"/>
      <c r="E24" s="591"/>
      <c r="F24" s="591"/>
      <c r="G24" s="193">
        <v>18537</v>
      </c>
      <c r="H24" s="193"/>
      <c r="I24" s="193">
        <f>7034+1500+2000</f>
        <v>10534</v>
      </c>
      <c r="J24" s="318"/>
      <c r="K24" s="666"/>
      <c r="L24" s="665"/>
      <c r="M24" s="666"/>
    </row>
    <row r="25" spans="1:13" s="55" customFormat="1" ht="20.25" x14ac:dyDescent="0.2">
      <c r="A25" s="54"/>
      <c r="B25" s="54"/>
      <c r="C25" s="58"/>
      <c r="D25" s="54" t="s">
        <v>104</v>
      </c>
      <c r="E25" s="58"/>
      <c r="F25" s="54"/>
      <c r="G25" s="201">
        <f>SUM(G7:G24)</f>
        <v>1746055</v>
      </c>
      <c r="H25" s="201"/>
      <c r="I25" s="201">
        <f>SUM(I7:I24)</f>
        <v>1528846</v>
      </c>
      <c r="K25" s="666"/>
      <c r="L25" s="665"/>
      <c r="M25" s="666"/>
    </row>
    <row r="26" spans="1:13" s="55" customFormat="1" ht="21" thickBot="1" x14ac:dyDescent="0.25">
      <c r="A26" s="54"/>
      <c r="B26" s="54"/>
      <c r="C26" s="58"/>
      <c r="D26" s="54"/>
      <c r="E26" s="58"/>
      <c r="F26" s="54"/>
      <c r="G26" s="193"/>
      <c r="H26" s="193"/>
      <c r="I26" s="193"/>
      <c r="K26" s="666"/>
      <c r="L26" s="665"/>
      <c r="M26" s="666"/>
    </row>
    <row r="27" spans="1:13" s="55" customFormat="1" ht="54.75" thickBot="1" x14ac:dyDescent="0.25">
      <c r="A27" s="54"/>
      <c r="B27" s="667" t="s">
        <v>110</v>
      </c>
      <c r="C27" s="667"/>
      <c r="D27" s="667"/>
      <c r="E27" s="667"/>
      <c r="F27" s="667"/>
      <c r="G27" s="668" t="s">
        <v>604</v>
      </c>
      <c r="H27" s="668"/>
      <c r="I27" s="668" t="s">
        <v>605</v>
      </c>
      <c r="K27" s="666"/>
      <c r="L27" s="665"/>
      <c r="M27" s="666"/>
    </row>
    <row r="28" spans="1:13" s="55" customFormat="1" ht="20.25" x14ac:dyDescent="0.2">
      <c r="A28" s="54"/>
      <c r="B28" s="54"/>
      <c r="C28" s="58" t="s">
        <v>111</v>
      </c>
      <c r="D28" s="58"/>
      <c r="E28" s="58"/>
      <c r="F28" s="58"/>
      <c r="G28" s="193">
        <v>1094561</v>
      </c>
      <c r="H28" s="193"/>
      <c r="I28" s="193">
        <v>930000</v>
      </c>
      <c r="K28" s="666"/>
      <c r="L28" s="665"/>
      <c r="M28" s="666"/>
    </row>
    <row r="29" spans="1:13" s="55" customFormat="1" ht="20.25" x14ac:dyDescent="0.2">
      <c r="A29" s="54"/>
      <c r="B29" s="54"/>
      <c r="C29" s="58" t="s">
        <v>112</v>
      </c>
      <c r="D29" s="58"/>
      <c r="E29" s="58"/>
      <c r="F29" s="58"/>
      <c r="G29" s="193">
        <v>222612</v>
      </c>
      <c r="H29" s="193"/>
      <c r="I29" s="193">
        <v>182500</v>
      </c>
      <c r="K29" s="666"/>
      <c r="L29" s="665"/>
      <c r="M29" s="666"/>
    </row>
    <row r="30" spans="1:13" s="55" customFormat="1" ht="20.25" x14ac:dyDescent="0.2">
      <c r="A30" s="54"/>
      <c r="B30" s="54"/>
      <c r="C30" s="58" t="s">
        <v>113</v>
      </c>
      <c r="D30" s="58"/>
      <c r="E30" s="58"/>
      <c r="F30" s="58"/>
      <c r="G30" s="193">
        <v>1800</v>
      </c>
      <c r="H30" s="193"/>
      <c r="I30" s="193">
        <v>1800</v>
      </c>
      <c r="K30" s="666"/>
      <c r="L30" s="665"/>
      <c r="M30" s="666"/>
    </row>
    <row r="31" spans="1:13" s="55" customFormat="1" ht="20.25" x14ac:dyDescent="0.2">
      <c r="A31" s="54"/>
      <c r="B31" s="54"/>
      <c r="C31" s="58" t="s">
        <v>103</v>
      </c>
      <c r="D31" s="58"/>
      <c r="E31" s="58"/>
      <c r="F31" s="58"/>
      <c r="G31" s="193">
        <v>52740</v>
      </c>
      <c r="H31" s="193"/>
      <c r="I31" s="193">
        <v>52740</v>
      </c>
      <c r="K31" s="666"/>
      <c r="L31" s="665"/>
      <c r="M31" s="666"/>
    </row>
    <row r="32" spans="1:13" s="55" customFormat="1" ht="20.25" x14ac:dyDescent="0.2">
      <c r="A32" s="54"/>
      <c r="B32" s="54"/>
      <c r="C32" s="58" t="s">
        <v>114</v>
      </c>
      <c r="D32" s="58"/>
      <c r="E32" s="58"/>
      <c r="F32" s="58"/>
      <c r="G32" s="193">
        <v>22993</v>
      </c>
      <c r="H32" s="193"/>
      <c r="I32" s="193">
        <v>19478</v>
      </c>
      <c r="K32" s="666"/>
      <c r="L32" s="665"/>
      <c r="M32" s="666"/>
    </row>
    <row r="33" spans="1:14" s="55" customFormat="1" ht="20.25" x14ac:dyDescent="0.2">
      <c r="A33" s="54"/>
      <c r="B33" s="54"/>
      <c r="C33" s="58" t="s">
        <v>115</v>
      </c>
      <c r="D33" s="58"/>
      <c r="E33" s="58"/>
      <c r="F33" s="58"/>
      <c r="G33" s="193">
        <v>2820</v>
      </c>
      <c r="H33" s="193"/>
      <c r="I33" s="193">
        <v>3395</v>
      </c>
      <c r="K33" s="666"/>
      <c r="L33" s="665"/>
      <c r="M33" s="666"/>
    </row>
    <row r="34" spans="1:14" s="55" customFormat="1" ht="20.25" x14ac:dyDescent="0.2">
      <c r="A34" s="54"/>
      <c r="B34" s="54"/>
      <c r="C34" s="58" t="s">
        <v>116</v>
      </c>
      <c r="D34" s="58"/>
      <c r="E34" s="58"/>
      <c r="F34" s="58"/>
      <c r="G34" s="193">
        <v>5127</v>
      </c>
      <c r="H34" s="193"/>
      <c r="I34" s="193">
        <v>5398</v>
      </c>
      <c r="K34" s="666"/>
      <c r="L34" s="665"/>
      <c r="M34" s="666"/>
    </row>
    <row r="35" spans="1:14" s="55" customFormat="1" ht="20.25" x14ac:dyDescent="0.2">
      <c r="A35" s="54"/>
      <c r="B35" s="54"/>
      <c r="C35" s="58" t="s">
        <v>117</v>
      </c>
      <c r="D35" s="58"/>
      <c r="E35" s="58"/>
      <c r="F35" s="58"/>
      <c r="G35" s="193">
        <v>5612</v>
      </c>
      <c r="H35" s="193"/>
      <c r="I35" s="193">
        <v>8340</v>
      </c>
      <c r="K35" s="666"/>
      <c r="L35" s="665"/>
      <c r="M35" s="666"/>
    </row>
    <row r="36" spans="1:14" s="55" customFormat="1" ht="20.25" x14ac:dyDescent="0.2">
      <c r="A36" s="54"/>
      <c r="B36" s="54"/>
      <c r="C36" s="58" t="s">
        <v>118</v>
      </c>
      <c r="D36" s="58"/>
      <c r="E36" s="58"/>
      <c r="F36" s="58"/>
      <c r="G36" s="193">
        <v>42000</v>
      </c>
      <c r="H36" s="193"/>
      <c r="I36" s="193">
        <v>49000</v>
      </c>
      <c r="K36" s="666"/>
      <c r="L36" s="665"/>
      <c r="M36" s="666"/>
    </row>
    <row r="37" spans="1:14" s="55" customFormat="1" ht="20.25" x14ac:dyDescent="0.2">
      <c r="A37" s="54"/>
      <c r="B37" s="54"/>
      <c r="C37" s="58" t="s">
        <v>119</v>
      </c>
      <c r="D37" s="58"/>
      <c r="E37" s="58"/>
      <c r="F37" s="58"/>
      <c r="G37" s="193">
        <v>4960</v>
      </c>
      <c r="H37" s="193"/>
      <c r="I37" s="193">
        <v>5600</v>
      </c>
      <c r="K37" s="666"/>
      <c r="L37" s="665"/>
      <c r="M37" s="666"/>
    </row>
    <row r="38" spans="1:14" s="55" customFormat="1" ht="20.25" x14ac:dyDescent="0.2">
      <c r="A38" s="54"/>
      <c r="B38" s="54"/>
      <c r="C38" s="58" t="s">
        <v>120</v>
      </c>
      <c r="D38" s="58"/>
      <c r="E38" s="58"/>
      <c r="F38" s="58"/>
      <c r="G38" s="193">
        <v>1501</v>
      </c>
      <c r="H38" s="193"/>
      <c r="I38" s="193">
        <v>1450</v>
      </c>
      <c r="K38" s="666"/>
      <c r="L38" s="665"/>
      <c r="M38" s="666"/>
    </row>
    <row r="39" spans="1:14" s="55" customFormat="1" ht="20.25" x14ac:dyDescent="0.2">
      <c r="A39" s="54"/>
      <c r="B39" s="54"/>
      <c r="C39" s="58" t="s">
        <v>165</v>
      </c>
      <c r="D39" s="58"/>
      <c r="E39" s="58"/>
      <c r="F39" s="58"/>
      <c r="G39" s="193">
        <v>23000</v>
      </c>
      <c r="H39" s="193"/>
      <c r="I39" s="193">
        <v>12175</v>
      </c>
      <c r="K39" s="666"/>
      <c r="L39" s="665"/>
      <c r="M39" s="666"/>
    </row>
    <row r="40" spans="1:14" s="55" customFormat="1" ht="20.25" x14ac:dyDescent="0.2">
      <c r="A40" s="54"/>
      <c r="B40" s="54"/>
      <c r="C40" s="789" t="s">
        <v>322</v>
      </c>
      <c r="D40" s="789"/>
      <c r="E40" s="789"/>
      <c r="F40" s="789"/>
      <c r="G40" s="193">
        <v>0</v>
      </c>
      <c r="H40" s="193"/>
      <c r="I40" s="193">
        <v>410</v>
      </c>
      <c r="J40" s="578"/>
      <c r="K40" s="666"/>
      <c r="L40" s="665"/>
      <c r="M40" s="666"/>
    </row>
    <row r="41" spans="1:14" s="55" customFormat="1" ht="20.25" x14ac:dyDescent="0.2">
      <c r="A41" s="54"/>
      <c r="B41" s="54"/>
      <c r="C41" s="58" t="s">
        <v>121</v>
      </c>
      <c r="D41" s="58"/>
      <c r="E41" s="58"/>
      <c r="F41" s="58"/>
      <c r="G41" s="193">
        <v>29350</v>
      </c>
      <c r="H41" s="193"/>
      <c r="I41" s="193">
        <f>24841+42+42</f>
        <v>24925</v>
      </c>
      <c r="K41" s="666"/>
      <c r="L41" s="665"/>
      <c r="M41" s="666"/>
      <c r="N41" s="666"/>
    </row>
    <row r="42" spans="1:14" s="55" customFormat="1" ht="20.25" x14ac:dyDescent="0.2">
      <c r="A42" s="54"/>
      <c r="B42" s="54"/>
      <c r="C42" s="58" t="s">
        <v>122</v>
      </c>
      <c r="D42" s="58"/>
      <c r="E42" s="58"/>
      <c r="F42" s="58"/>
      <c r="G42" s="193">
        <v>25000</v>
      </c>
      <c r="H42" s="193"/>
      <c r="I42" s="193">
        <v>25700</v>
      </c>
      <c r="J42" s="578"/>
      <c r="K42" s="666"/>
      <c r="L42" s="665"/>
      <c r="M42" s="666"/>
    </row>
    <row r="43" spans="1:14" s="55" customFormat="1" ht="20.25" x14ac:dyDescent="0.2">
      <c r="A43" s="54"/>
      <c r="B43" s="54"/>
      <c r="C43" s="58" t="s">
        <v>129</v>
      </c>
      <c r="D43" s="58"/>
      <c r="E43" s="58"/>
      <c r="F43" s="58"/>
      <c r="G43" s="193">
        <v>700</v>
      </c>
      <c r="H43" s="193"/>
      <c r="I43" s="193">
        <v>303</v>
      </c>
      <c r="K43" s="666"/>
      <c r="L43" s="665"/>
      <c r="M43" s="666"/>
    </row>
    <row r="44" spans="1:14" s="55" customFormat="1" ht="20.25" x14ac:dyDescent="0.2">
      <c r="A44" s="54"/>
      <c r="B44" s="54"/>
      <c r="C44" s="58" t="s">
        <v>123</v>
      </c>
      <c r="D44" s="58"/>
      <c r="E44" s="58"/>
      <c r="F44" s="58"/>
      <c r="G44" s="193">
        <f>2000+3500</f>
        <v>5500</v>
      </c>
      <c r="H44" s="193"/>
      <c r="I44" s="193">
        <f>3012.83+6264</f>
        <v>9276.83</v>
      </c>
      <c r="J44" s="578"/>
      <c r="K44" s="666"/>
      <c r="L44" s="665"/>
      <c r="M44" s="666"/>
    </row>
    <row r="45" spans="1:14" s="55" customFormat="1" ht="20.25" customHeight="1" x14ac:dyDescent="0.2">
      <c r="A45" s="54"/>
      <c r="B45" s="54"/>
      <c r="C45" s="58" t="s">
        <v>198</v>
      </c>
      <c r="D45" s="58"/>
      <c r="E45" s="58"/>
      <c r="F45" s="58"/>
      <c r="G45" s="193">
        <v>8543</v>
      </c>
      <c r="H45" s="193"/>
      <c r="I45" s="193">
        <v>6326</v>
      </c>
      <c r="K45" s="666"/>
      <c r="L45" s="665"/>
      <c r="M45" s="666"/>
    </row>
    <row r="46" spans="1:14" s="55" customFormat="1" ht="20.25" x14ac:dyDescent="0.2">
      <c r="A46" s="58"/>
      <c r="B46" s="58"/>
      <c r="C46" s="58" t="s">
        <v>125</v>
      </c>
      <c r="D46" s="58"/>
      <c r="E46" s="58"/>
      <c r="F46" s="58"/>
      <c r="G46" s="193">
        <v>58875</v>
      </c>
      <c r="H46" s="193"/>
      <c r="I46" s="193">
        <v>25015</v>
      </c>
      <c r="K46" s="666"/>
      <c r="L46" s="665"/>
      <c r="M46" s="666"/>
    </row>
    <row r="47" spans="1:14" s="55" customFormat="1" ht="20.25" x14ac:dyDescent="0.2">
      <c r="A47" s="54"/>
      <c r="B47" s="54"/>
      <c r="C47" s="58" t="s">
        <v>164</v>
      </c>
      <c r="D47" s="58"/>
      <c r="E47" s="58"/>
      <c r="F47" s="58"/>
      <c r="G47" s="193">
        <v>60600</v>
      </c>
      <c r="H47" s="193"/>
      <c r="I47" s="193">
        <v>62119</v>
      </c>
      <c r="K47" s="666"/>
      <c r="L47" s="665"/>
      <c r="M47" s="666"/>
    </row>
    <row r="48" spans="1:14" s="55" customFormat="1" ht="20.25" x14ac:dyDescent="0.2">
      <c r="A48" s="54"/>
      <c r="B48" s="54"/>
      <c r="C48" s="58" t="s">
        <v>126</v>
      </c>
      <c r="D48" s="58"/>
      <c r="E48" s="58"/>
      <c r="F48" s="58"/>
      <c r="G48" s="195">
        <f>9000+35702</f>
        <v>44702</v>
      </c>
      <c r="H48" s="193"/>
      <c r="I48" s="195">
        <f>15559+52280</f>
        <v>67839</v>
      </c>
      <c r="K48" s="666"/>
      <c r="L48" s="665"/>
      <c r="M48" s="666"/>
    </row>
    <row r="49" spans="1:13" s="55" customFormat="1" ht="20.25" x14ac:dyDescent="0.2">
      <c r="A49" s="58"/>
      <c r="B49" s="58"/>
      <c r="D49" s="54" t="s">
        <v>127</v>
      </c>
      <c r="G49" s="193">
        <f>SUM(G28:G48)</f>
        <v>1712996</v>
      </c>
      <c r="H49" s="193"/>
      <c r="I49" s="193">
        <f>SUM(I28:I48)</f>
        <v>1493789.83</v>
      </c>
      <c r="K49" s="666"/>
      <c r="L49" s="665"/>
      <c r="M49" s="666"/>
    </row>
    <row r="50" spans="1:13" s="55" customFormat="1" ht="8.25" customHeight="1" x14ac:dyDescent="0.2">
      <c r="A50" s="58"/>
      <c r="B50" s="58"/>
      <c r="C50" s="54"/>
      <c r="D50" s="54"/>
      <c r="G50" s="193"/>
      <c r="H50" s="193"/>
      <c r="I50" s="193"/>
      <c r="K50" s="666"/>
      <c r="L50" s="665"/>
      <c r="M50" s="666"/>
    </row>
    <row r="51" spans="1:13" s="55" customFormat="1" ht="20.25" x14ac:dyDescent="0.2">
      <c r="A51" s="58"/>
      <c r="B51" s="58"/>
      <c r="C51" s="670" t="s">
        <v>415</v>
      </c>
      <c r="D51"/>
      <c r="E51" s="54"/>
      <c r="F51" s="54"/>
      <c r="G51" s="201">
        <f>G25-G49</f>
        <v>33059</v>
      </c>
      <c r="H51" s="193"/>
      <c r="I51" s="201">
        <f>I25-I49</f>
        <v>35056.169999999925</v>
      </c>
      <c r="K51" s="666"/>
      <c r="L51" s="665"/>
      <c r="M51" s="666"/>
    </row>
    <row r="52" spans="1:13" s="55" customFormat="1" ht="9" customHeight="1" x14ac:dyDescent="0.2">
      <c r="A52" s="58"/>
      <c r="B52" s="58"/>
      <c r="C52" s="58"/>
      <c r="D52" s="58"/>
      <c r="E52" s="58"/>
      <c r="F52" s="58"/>
      <c r="G52" s="193"/>
      <c r="H52" s="193"/>
      <c r="I52" s="193"/>
      <c r="K52" s="666"/>
      <c r="L52" s="665"/>
      <c r="M52" s="666"/>
    </row>
    <row r="53" spans="1:13" s="55" customFormat="1" ht="23.25" customHeight="1" x14ac:dyDescent="0.2">
      <c r="A53" s="58"/>
      <c r="B53" s="58"/>
      <c r="C53" s="58" t="s">
        <v>464</v>
      </c>
      <c r="D53" s="58"/>
      <c r="F53" s="58"/>
      <c r="G53" s="193">
        <v>24021</v>
      </c>
      <c r="H53" s="193"/>
      <c r="I53" s="193">
        <v>35278</v>
      </c>
      <c r="K53" s="666"/>
      <c r="L53" s="665"/>
      <c r="M53" s="666"/>
    </row>
    <row r="54" spans="1:13" s="55" customFormat="1" ht="20.25" x14ac:dyDescent="0.2">
      <c r="A54" s="58"/>
      <c r="B54" s="58"/>
      <c r="C54" s="58" t="s">
        <v>32</v>
      </c>
      <c r="D54" s="58"/>
      <c r="F54" s="58"/>
      <c r="G54" s="193">
        <v>5933</v>
      </c>
      <c r="H54" s="193"/>
      <c r="I54" s="193">
        <v>5330</v>
      </c>
      <c r="K54" s="666"/>
      <c r="L54" s="665"/>
      <c r="M54" s="666"/>
    </row>
    <row r="55" spans="1:13" s="55" customFormat="1" ht="9" customHeight="1" thickBot="1" x14ac:dyDescent="0.25">
      <c r="A55" s="58"/>
      <c r="B55" s="58"/>
      <c r="C55" s="58"/>
      <c r="D55" s="58"/>
      <c r="E55" s="58"/>
      <c r="F55" s="58"/>
      <c r="G55" s="193"/>
      <c r="H55" s="193"/>
      <c r="I55" s="193"/>
      <c r="K55" s="666"/>
      <c r="L55" s="665"/>
      <c r="M55" s="666"/>
    </row>
    <row r="56" spans="1:13" s="55" customFormat="1" ht="21.75" thickTop="1" thickBot="1" x14ac:dyDescent="0.25">
      <c r="A56" s="54"/>
      <c r="B56" s="54"/>
      <c r="C56" s="671" t="s">
        <v>416</v>
      </c>
      <c r="D56" s="672"/>
      <c r="E56" s="672"/>
      <c r="F56" s="672"/>
      <c r="G56" s="673">
        <f>G51-G54-G53</f>
        <v>3105</v>
      </c>
      <c r="H56" s="673"/>
      <c r="I56" s="673">
        <f>I51-I54-I53</f>
        <v>-5551.8300000000745</v>
      </c>
      <c r="K56" s="666"/>
      <c r="L56" s="665"/>
      <c r="M56" s="666"/>
    </row>
    <row r="57" spans="1:13" s="55" customFormat="1" ht="21" thickTop="1" x14ac:dyDescent="0.2">
      <c r="A57" s="54"/>
      <c r="B57" s="54"/>
      <c r="C57" s="54"/>
      <c r="D57" s="54"/>
      <c r="E57" s="54"/>
      <c r="F57" s="54"/>
      <c r="G57" s="196"/>
      <c r="H57" s="196"/>
      <c r="K57" s="666"/>
      <c r="L57" s="665"/>
      <c r="M57" s="666"/>
    </row>
    <row r="58" spans="1:13" ht="20.25" x14ac:dyDescent="0.3">
      <c r="B58" s="674" t="s">
        <v>608</v>
      </c>
      <c r="C58" s="675"/>
      <c r="F58" s="607"/>
      <c r="G58" s="227"/>
      <c r="H58" s="227"/>
      <c r="I58" s="675"/>
    </row>
    <row r="59" spans="1:13" ht="9.75" customHeight="1" x14ac:dyDescent="0.3">
      <c r="B59" s="674"/>
      <c r="C59" s="675"/>
      <c r="F59" s="607"/>
      <c r="G59" s="227"/>
      <c r="H59" s="227"/>
      <c r="I59" s="675"/>
    </row>
    <row r="60" spans="1:13" ht="20.25" x14ac:dyDescent="0.3">
      <c r="B60" s="674"/>
      <c r="C60" s="30" t="s">
        <v>476</v>
      </c>
      <c r="F60" s="607"/>
      <c r="G60" s="227"/>
      <c r="H60" s="227"/>
      <c r="I60" s="675"/>
    </row>
    <row r="61" spans="1:13" ht="20.25" x14ac:dyDescent="0.3">
      <c r="B61" s="674"/>
      <c r="C61" s="441" t="s">
        <v>477</v>
      </c>
      <c r="F61" s="607"/>
      <c r="G61" s="227"/>
      <c r="H61" s="227"/>
      <c r="I61" s="675"/>
    </row>
    <row r="62" spans="1:13" ht="33.75" customHeight="1" x14ac:dyDescent="0.3">
      <c r="B62" s="674"/>
      <c r="C62" s="790" t="s">
        <v>527</v>
      </c>
      <c r="D62" s="790"/>
      <c r="E62" s="790"/>
      <c r="F62" s="790"/>
      <c r="G62" s="790"/>
      <c r="H62" s="790"/>
      <c r="I62" s="790"/>
    </row>
    <row r="63" spans="1:13" ht="20.25" x14ac:dyDescent="0.3">
      <c r="B63" s="674"/>
      <c r="C63" s="441" t="s">
        <v>614</v>
      </c>
      <c r="F63" s="607"/>
      <c r="G63" s="227"/>
      <c r="H63" s="227"/>
      <c r="I63" s="675"/>
    </row>
    <row r="64" spans="1:13" ht="20.25" x14ac:dyDescent="0.3">
      <c r="B64" s="674"/>
      <c r="C64">
        <v>1</v>
      </c>
      <c r="D64" s="441" t="s">
        <v>609</v>
      </c>
      <c r="F64" s="607"/>
      <c r="G64" s="227"/>
      <c r="H64" s="227"/>
      <c r="I64" s="675"/>
    </row>
    <row r="65" spans="2:9" ht="20.25" x14ac:dyDescent="0.3">
      <c r="B65" s="674"/>
      <c r="C65" s="441">
        <v>2</v>
      </c>
      <c r="D65" s="441" t="s">
        <v>610</v>
      </c>
      <c r="F65" s="607"/>
      <c r="G65" s="227"/>
      <c r="H65" s="227"/>
      <c r="I65" s="675"/>
    </row>
    <row r="66" spans="2:9" ht="20.25" x14ac:dyDescent="0.3">
      <c r="B66" s="674"/>
      <c r="C66" s="441" t="s">
        <v>611</v>
      </c>
      <c r="D66" s="441"/>
      <c r="F66" s="607"/>
      <c r="G66" s="227"/>
      <c r="H66" s="227"/>
      <c r="I66" s="675"/>
    </row>
    <row r="67" spans="2:9" ht="39.75" customHeight="1" x14ac:dyDescent="0.3">
      <c r="B67" s="674"/>
      <c r="C67" s="790" t="s">
        <v>612</v>
      </c>
      <c r="D67" s="790"/>
      <c r="E67" s="790"/>
      <c r="F67" s="790"/>
      <c r="G67" s="790"/>
      <c r="H67" s="790"/>
      <c r="I67" s="790"/>
    </row>
    <row r="68" spans="2:9" ht="20.25" customHeight="1" x14ac:dyDescent="0.2">
      <c r="C68" s="790" t="s">
        <v>613</v>
      </c>
      <c r="D68" s="790"/>
      <c r="E68" s="790"/>
      <c r="F68" s="790"/>
      <c r="G68" s="790"/>
      <c r="H68" s="790"/>
      <c r="I68" s="790"/>
    </row>
    <row r="69" spans="2:9" ht="11.25" customHeight="1" x14ac:dyDescent="0.3">
      <c r="C69" s="441"/>
      <c r="F69" s="607"/>
      <c r="G69" s="227"/>
      <c r="H69" s="227"/>
      <c r="I69" s="675"/>
    </row>
    <row r="70" spans="2:9" ht="20.25" hidden="1" x14ac:dyDescent="0.3">
      <c r="C70" s="676" t="s">
        <v>478</v>
      </c>
      <c r="F70" s="607"/>
      <c r="G70" s="227"/>
      <c r="H70" s="227"/>
      <c r="I70" s="675"/>
    </row>
    <row r="71" spans="2:9" ht="38.25" hidden="1" customHeight="1" x14ac:dyDescent="0.2">
      <c r="C71" s="790" t="s">
        <v>479</v>
      </c>
      <c r="D71" s="790"/>
      <c r="E71" s="790"/>
      <c r="F71" s="790"/>
      <c r="G71" s="790"/>
      <c r="H71" s="790"/>
      <c r="I71" s="790"/>
    </row>
    <row r="72" spans="2:9" ht="37.5" hidden="1" customHeight="1" x14ac:dyDescent="0.2">
      <c r="C72" s="791" t="s">
        <v>522</v>
      </c>
      <c r="D72" s="791"/>
      <c r="E72" s="791"/>
      <c r="F72" s="791"/>
      <c r="G72" s="791"/>
      <c r="H72" s="791"/>
      <c r="I72" s="791"/>
    </row>
    <row r="73" spans="2:9" ht="18" hidden="1" x14ac:dyDescent="0.25">
      <c r="C73" s="441" t="s">
        <v>480</v>
      </c>
      <c r="F73" s="607"/>
      <c r="G73" s="675"/>
      <c r="H73" s="675"/>
      <c r="I73" s="675"/>
    </row>
    <row r="74" spans="2:9" ht="18" hidden="1" x14ac:dyDescent="0.25">
      <c r="C74" s="441" t="s">
        <v>520</v>
      </c>
      <c r="F74" s="607"/>
      <c r="G74" s="675"/>
      <c r="H74" s="675"/>
      <c r="I74" s="675"/>
    </row>
    <row r="75" spans="2:9" ht="29.25" hidden="1" customHeight="1" x14ac:dyDescent="0.2">
      <c r="C75" s="790" t="s">
        <v>521</v>
      </c>
      <c r="D75" s="790"/>
      <c r="E75" s="790"/>
      <c r="F75" s="790"/>
      <c r="G75" s="790"/>
      <c r="H75" s="790"/>
      <c r="I75" s="790"/>
    </row>
    <row r="76" spans="2:9" ht="18" hidden="1" x14ac:dyDescent="0.25">
      <c r="C76" s="229" t="s">
        <v>511</v>
      </c>
      <c r="F76" s="607"/>
      <c r="G76" s="675"/>
      <c r="H76" s="675"/>
      <c r="I76" s="675"/>
    </row>
    <row r="77" spans="2:9" ht="18" hidden="1" x14ac:dyDescent="0.25">
      <c r="C77" s="229">
        <v>1</v>
      </c>
      <c r="D77" s="229" t="s">
        <v>512</v>
      </c>
      <c r="F77" s="607"/>
      <c r="G77" s="675"/>
      <c r="H77" s="675"/>
      <c r="I77" s="675"/>
    </row>
    <row r="78" spans="2:9" ht="18" hidden="1" x14ac:dyDescent="0.25">
      <c r="C78" s="229">
        <v>2</v>
      </c>
      <c r="D78" s="229" t="s">
        <v>518</v>
      </c>
      <c r="F78" s="607"/>
    </row>
    <row r="79" spans="2:9" ht="18" hidden="1" x14ac:dyDescent="0.25">
      <c r="C79" s="229">
        <v>3</v>
      </c>
      <c r="D79" s="229" t="s">
        <v>519</v>
      </c>
      <c r="F79" s="607"/>
    </row>
    <row r="80" spans="2:9" ht="18" hidden="1" x14ac:dyDescent="0.25">
      <c r="C80" s="229">
        <v>4</v>
      </c>
      <c r="D80" s="229" t="s">
        <v>514</v>
      </c>
      <c r="F80" s="607"/>
    </row>
    <row r="81" spans="3:6" ht="18" hidden="1" x14ac:dyDescent="0.25">
      <c r="C81" s="229" t="s">
        <v>513</v>
      </c>
      <c r="D81" s="229"/>
      <c r="F81" s="607"/>
    </row>
    <row r="82" spans="3:6" ht="18" hidden="1" x14ac:dyDescent="0.25">
      <c r="C82" s="229" t="s">
        <v>516</v>
      </c>
      <c r="D82" s="229"/>
      <c r="F82" s="607"/>
    </row>
    <row r="83" spans="3:6" ht="18" hidden="1" x14ac:dyDescent="0.25">
      <c r="C83" s="229">
        <v>1</v>
      </c>
      <c r="D83" s="229" t="s">
        <v>515</v>
      </c>
      <c r="F83" s="88"/>
    </row>
    <row r="84" spans="3:6" ht="18" hidden="1" x14ac:dyDescent="0.25">
      <c r="C84" s="229">
        <v>2</v>
      </c>
      <c r="D84" s="229" t="s">
        <v>517</v>
      </c>
      <c r="F84" s="88"/>
    </row>
    <row r="85" spans="3:6" hidden="1" x14ac:dyDescent="0.2">
      <c r="C85" s="229" t="s">
        <v>513</v>
      </c>
      <c r="D85" s="229"/>
    </row>
    <row r="86" spans="3:6" hidden="1" x14ac:dyDescent="0.2">
      <c r="C86" s="229" t="s">
        <v>529</v>
      </c>
      <c r="D86" s="229"/>
    </row>
    <row r="87" spans="3:6" hidden="1" x14ac:dyDescent="0.2">
      <c r="C87" s="229" t="s">
        <v>530</v>
      </c>
      <c r="D87" s="229"/>
    </row>
    <row r="88" spans="3:6" x14ac:dyDescent="0.2">
      <c r="C88" s="229"/>
      <c r="D88" s="229"/>
    </row>
    <row r="89" spans="3:6" x14ac:dyDescent="0.2">
      <c r="C89" s="229"/>
      <c r="D89" s="229"/>
    </row>
    <row r="90" spans="3:6" x14ac:dyDescent="0.2">
      <c r="C90" s="229"/>
      <c r="D90" s="229"/>
    </row>
    <row r="91" spans="3:6" x14ac:dyDescent="0.2">
      <c r="C91" s="229"/>
      <c r="D91" s="229"/>
    </row>
    <row r="92" spans="3:6" x14ac:dyDescent="0.2">
      <c r="C92" s="229"/>
      <c r="D92" s="229"/>
    </row>
    <row r="93" spans="3:6" x14ac:dyDescent="0.2">
      <c r="C93" s="229"/>
      <c r="D93" s="229"/>
    </row>
    <row r="94" spans="3:6" x14ac:dyDescent="0.2">
      <c r="C94" s="229"/>
      <c r="D94" s="229"/>
    </row>
    <row r="95" spans="3:6" x14ac:dyDescent="0.2">
      <c r="C95" s="229"/>
      <c r="D95" s="229"/>
    </row>
    <row r="96" spans="3:6" x14ac:dyDescent="0.2">
      <c r="C96" s="229"/>
      <c r="D96" s="229"/>
    </row>
    <row r="97" spans="3:3" x14ac:dyDescent="0.2">
      <c r="C97" s="229"/>
    </row>
    <row r="98" spans="3:3" x14ac:dyDescent="0.2">
      <c r="C98" s="229"/>
    </row>
    <row r="99" spans="3:3" x14ac:dyDescent="0.2">
      <c r="C99" s="229"/>
    </row>
    <row r="100" spans="3:3" x14ac:dyDescent="0.2">
      <c r="C100" s="229"/>
    </row>
    <row r="101" spans="3:3" x14ac:dyDescent="0.2">
      <c r="C101" s="229"/>
    </row>
    <row r="102" spans="3:3" x14ac:dyDescent="0.2">
      <c r="C102" s="229"/>
    </row>
    <row r="103" spans="3:3" x14ac:dyDescent="0.2">
      <c r="C103" s="229"/>
    </row>
    <row r="104" spans="3:3" x14ac:dyDescent="0.2">
      <c r="C104" s="229"/>
    </row>
    <row r="105" spans="3:3" x14ac:dyDescent="0.2">
      <c r="C105" s="229"/>
    </row>
    <row r="106" spans="3:3" x14ac:dyDescent="0.2">
      <c r="C106" s="229"/>
    </row>
    <row r="107" spans="3:3" x14ac:dyDescent="0.2">
      <c r="C107" s="229"/>
    </row>
    <row r="108" spans="3:3" x14ac:dyDescent="0.2">
      <c r="C108" s="229"/>
    </row>
    <row r="109" spans="3:3" x14ac:dyDescent="0.2">
      <c r="C109" s="229"/>
    </row>
    <row r="110" spans="3:3" x14ac:dyDescent="0.2">
      <c r="C110" s="229"/>
    </row>
    <row r="111" spans="3:3" x14ac:dyDescent="0.2">
      <c r="C111" s="229"/>
    </row>
  </sheetData>
  <mergeCells count="7">
    <mergeCell ref="C72:I72"/>
    <mergeCell ref="C75:I75"/>
    <mergeCell ref="C40:F40"/>
    <mergeCell ref="C62:I62"/>
    <mergeCell ref="C67:I67"/>
    <mergeCell ref="C68:I68"/>
    <mergeCell ref="C71:I71"/>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W115"/>
  <sheetViews>
    <sheetView tabSelected="1" topLeftCell="A6" zoomScaleNormal="100" workbookViewId="0">
      <selection activeCell="E16" sqref="E16"/>
    </sheetView>
  </sheetViews>
  <sheetFormatPr defaultRowHeight="14.25" x14ac:dyDescent="0.2"/>
  <cols>
    <col min="1" max="1" width="5" customWidth="1"/>
    <col min="2" max="6" width="14.875" customWidth="1"/>
    <col min="7" max="7" width="16.125" customWidth="1"/>
    <col min="8" max="8" width="18.25" customWidth="1"/>
    <col min="9" max="9" width="9.5" bestFit="1" customWidth="1"/>
    <col min="10" max="10" width="9.875" bestFit="1" customWidth="1"/>
    <col min="11" max="11" width="10.5" bestFit="1" customWidth="1"/>
    <col min="12" max="12" width="13.125" bestFit="1" customWidth="1"/>
  </cols>
  <sheetData>
    <row r="1" spans="1:8" ht="23.25" x14ac:dyDescent="0.2">
      <c r="A1" s="818" t="s">
        <v>170</v>
      </c>
      <c r="B1" s="818"/>
      <c r="C1" s="818"/>
      <c r="D1" s="818"/>
      <c r="E1" s="818"/>
      <c r="F1" s="818"/>
      <c r="G1" s="818"/>
      <c r="H1" s="818"/>
    </row>
    <row r="2" spans="1:8" ht="23.25" x14ac:dyDescent="0.2">
      <c r="A2" s="818" t="s">
        <v>171</v>
      </c>
      <c r="B2" s="818"/>
      <c r="C2" s="818"/>
      <c r="D2" s="818"/>
      <c r="E2" s="818"/>
      <c r="F2" s="818"/>
      <c r="G2" s="818"/>
      <c r="H2" s="818"/>
    </row>
    <row r="3" spans="1:8" ht="23.25" x14ac:dyDescent="0.2">
      <c r="A3" s="819">
        <v>45440</v>
      </c>
      <c r="B3" s="819"/>
      <c r="C3" s="819"/>
      <c r="D3" s="819"/>
      <c r="E3" s="819"/>
      <c r="F3" s="819"/>
      <c r="G3" s="819"/>
      <c r="H3" s="819"/>
    </row>
    <row r="4" spans="1:8" ht="21.75" customHeight="1" x14ac:dyDescent="0.2">
      <c r="A4" s="820" t="s">
        <v>181</v>
      </c>
      <c r="B4" s="820"/>
      <c r="C4" s="820"/>
      <c r="D4" s="820"/>
      <c r="E4" s="820"/>
      <c r="F4" s="820"/>
      <c r="G4" s="820"/>
      <c r="H4" s="820"/>
    </row>
    <row r="5" spans="1:8" ht="83.25" customHeight="1" x14ac:dyDescent="0.2">
      <c r="A5" s="795" t="s">
        <v>678</v>
      </c>
      <c r="B5" s="795"/>
      <c r="C5" s="795"/>
      <c r="D5" s="795"/>
      <c r="E5" s="795"/>
      <c r="F5" s="795"/>
      <c r="G5" s="795"/>
      <c r="H5" s="795"/>
    </row>
    <row r="6" spans="1:8" ht="81" customHeight="1" x14ac:dyDescent="0.2">
      <c r="A6" s="391"/>
      <c r="B6" s="391"/>
      <c r="C6" s="391"/>
      <c r="D6" s="391"/>
      <c r="E6" s="391"/>
      <c r="F6" s="391"/>
      <c r="G6" s="391"/>
      <c r="H6" s="391"/>
    </row>
    <row r="7" spans="1:8" ht="81" customHeight="1" x14ac:dyDescent="0.2">
      <c r="A7" s="391"/>
      <c r="B7" s="391"/>
      <c r="C7" s="391"/>
      <c r="D7" s="391"/>
      <c r="E7" s="391"/>
      <c r="F7" s="391"/>
      <c r="G7" s="391"/>
      <c r="H7" s="391"/>
    </row>
    <row r="8" spans="1:8" ht="81" customHeight="1" x14ac:dyDescent="0.2">
      <c r="A8" s="391"/>
      <c r="B8" s="391"/>
      <c r="C8" s="391"/>
      <c r="D8" s="391"/>
      <c r="E8" s="391"/>
      <c r="F8" s="391"/>
      <c r="G8" s="391"/>
      <c r="H8" s="391"/>
    </row>
    <row r="9" spans="1:8" ht="53.25" customHeight="1" x14ac:dyDescent="0.25">
      <c r="A9" s="796" t="s">
        <v>679</v>
      </c>
      <c r="B9" s="796"/>
      <c r="C9" s="796"/>
      <c r="D9" s="796"/>
      <c r="E9" s="796"/>
      <c r="F9" s="796"/>
      <c r="G9" s="796"/>
      <c r="H9" s="796"/>
    </row>
    <row r="10" spans="1:8" ht="15.75" x14ac:dyDescent="0.25">
      <c r="A10" s="364"/>
      <c r="B10" s="817"/>
      <c r="C10" s="817"/>
      <c r="D10" s="355"/>
      <c r="E10" s="361" t="s">
        <v>49</v>
      </c>
      <c r="F10" s="361" t="s">
        <v>355</v>
      </c>
      <c r="G10" s="356"/>
      <c r="H10" s="364"/>
    </row>
    <row r="11" spans="1:8" ht="15.75" customHeight="1" x14ac:dyDescent="0.25">
      <c r="A11" s="364"/>
      <c r="C11" s="815" t="s">
        <v>373</v>
      </c>
      <c r="D11" s="815"/>
      <c r="E11" s="160">
        <f>'April''24 AR Aging '!G8</f>
        <v>44216.06</v>
      </c>
      <c r="F11" s="543">
        <f t="shared" ref="F11:F16" si="0">E11/E$17</f>
        <v>0.13860859926382307</v>
      </c>
      <c r="G11" s="357"/>
      <c r="H11" s="364"/>
    </row>
    <row r="12" spans="1:8" ht="15.75" customHeight="1" x14ac:dyDescent="0.25">
      <c r="A12" s="364"/>
      <c r="C12" s="815" t="s">
        <v>371</v>
      </c>
      <c r="D12" s="815"/>
      <c r="E12" s="258">
        <f>'April''24 AR Aging '!G32</f>
        <v>63044.97</v>
      </c>
      <c r="F12" s="543">
        <f t="shared" si="0"/>
        <v>0.19763350652070194</v>
      </c>
      <c r="G12" s="357"/>
      <c r="H12" s="364"/>
    </row>
    <row r="13" spans="1:8" ht="15.75" customHeight="1" x14ac:dyDescent="0.25">
      <c r="A13" s="364"/>
      <c r="C13" s="815" t="s">
        <v>372</v>
      </c>
      <c r="D13" s="815"/>
      <c r="E13" s="258">
        <f>'April''24 AR Aging '!G14</f>
        <v>55089.7</v>
      </c>
      <c r="F13" s="543">
        <f t="shared" si="0"/>
        <v>0.17269530914478209</v>
      </c>
      <c r="G13" s="357"/>
      <c r="H13" s="364"/>
    </row>
    <row r="14" spans="1:8" ht="15.75" customHeight="1" x14ac:dyDescent="0.25">
      <c r="A14" s="364"/>
      <c r="C14" s="817" t="s">
        <v>44</v>
      </c>
      <c r="D14" s="817"/>
      <c r="E14" s="258">
        <f>'April''24 AR Aging '!G43</f>
        <v>26972.23</v>
      </c>
      <c r="F14" s="543">
        <f t="shared" si="0"/>
        <v>8.4552604174177134E-2</v>
      </c>
      <c r="G14" s="357"/>
      <c r="H14" s="364"/>
    </row>
    <row r="15" spans="1:8" ht="15.75" customHeight="1" x14ac:dyDescent="0.25">
      <c r="A15" s="364"/>
      <c r="C15" s="817" t="s">
        <v>428</v>
      </c>
      <c r="D15" s="817"/>
      <c r="E15" s="258">
        <f>'April''24 AR Aging '!G51+'April''24 AR Aging '!G56+'April''24 AR Aging '!G58+'April''24 AR Aging '!G39+'April''24 AR Aging '!G40+'April''24 AR Aging '!G71</f>
        <v>73791.319999999992</v>
      </c>
      <c r="F15" s="543">
        <f t="shared" si="0"/>
        <v>0.23132118743797012</v>
      </c>
      <c r="G15" s="357"/>
      <c r="H15" s="364"/>
    </row>
    <row r="16" spans="1:8" ht="15.75" customHeight="1" x14ac:dyDescent="0.25">
      <c r="A16" s="364"/>
      <c r="C16" s="817" t="s">
        <v>345</v>
      </c>
      <c r="D16" s="817"/>
      <c r="E16" s="258">
        <f>'April''24 AR Aging '!G60+'April''24 AR Aging '!G42+'April''24 AR Aging '!G62+'April''24 AR Aging '!G64+'April''24 AR Aging '!G67+'April''24 AR Aging '!G65+'April''24 AR Aging '!G41</f>
        <v>55885.120000000003</v>
      </c>
      <c r="F16" s="543">
        <f t="shared" si="0"/>
        <v>0.17518879345854571</v>
      </c>
      <c r="G16" s="357"/>
      <c r="H16" s="364"/>
    </row>
    <row r="17" spans="1:13" ht="16.5" customHeight="1" thickBot="1" x14ac:dyDescent="0.3">
      <c r="A17" s="364"/>
      <c r="B17" s="817" t="s">
        <v>623</v>
      </c>
      <c r="C17" s="817"/>
      <c r="D17" s="817"/>
      <c r="E17" s="362">
        <f>SUM(E11:E16)</f>
        <v>318999.39999999997</v>
      </c>
      <c r="F17" s="544">
        <f>SUM(F11:F16)</f>
        <v>1</v>
      </c>
      <c r="G17" s="539"/>
      <c r="H17" s="364"/>
    </row>
    <row r="18" spans="1:13" ht="38.25" customHeight="1" thickTop="1" x14ac:dyDescent="0.2">
      <c r="A18" s="391"/>
      <c r="B18" s="391"/>
      <c r="C18" s="391"/>
      <c r="D18" s="391"/>
      <c r="E18" s="732"/>
      <c r="F18" s="391"/>
      <c r="G18" s="391"/>
      <c r="H18" s="391"/>
    </row>
    <row r="19" spans="1:13" ht="88.5" customHeight="1" x14ac:dyDescent="0.2">
      <c r="A19" s="391"/>
      <c r="B19" s="391"/>
      <c r="C19" s="391"/>
      <c r="D19" s="391"/>
      <c r="E19" s="391"/>
      <c r="F19" s="391"/>
      <c r="G19" s="391"/>
      <c r="H19" s="391"/>
    </row>
    <row r="20" spans="1:13" ht="88.5" customHeight="1" x14ac:dyDescent="0.2">
      <c r="A20" s="391"/>
      <c r="B20" s="391"/>
      <c r="C20" s="391"/>
      <c r="D20" s="391"/>
      <c r="E20" s="391"/>
      <c r="F20" s="391"/>
      <c r="G20" s="391"/>
      <c r="H20" s="391"/>
    </row>
    <row r="21" spans="1:13" ht="88.5" customHeight="1" x14ac:dyDescent="0.2">
      <c r="A21" s="391"/>
      <c r="B21" s="391"/>
      <c r="C21" s="391"/>
      <c r="D21" s="391"/>
      <c r="E21" s="391"/>
      <c r="F21" s="391"/>
      <c r="G21" s="391"/>
      <c r="H21" s="391"/>
    </row>
    <row r="22" spans="1:13" ht="35.25" hidden="1" customHeight="1" x14ac:dyDescent="0.2">
      <c r="A22" s="795" t="s">
        <v>276</v>
      </c>
      <c r="B22" s="795"/>
      <c r="C22" s="795"/>
      <c r="D22" s="795"/>
      <c r="E22" s="795"/>
      <c r="F22" s="795"/>
      <c r="G22" s="795"/>
      <c r="H22" s="795"/>
    </row>
    <row r="23" spans="1:13" ht="15" customHeight="1" x14ac:dyDescent="0.2">
      <c r="A23" s="391"/>
      <c r="B23" s="391"/>
      <c r="C23" s="391"/>
      <c r="D23" s="391"/>
      <c r="E23" s="391"/>
      <c r="F23" s="391"/>
      <c r="G23" s="391"/>
      <c r="H23" s="391"/>
    </row>
    <row r="24" spans="1:13" ht="55.5" customHeight="1" x14ac:dyDescent="0.2">
      <c r="A24" s="795" t="s">
        <v>680</v>
      </c>
      <c r="B24" s="795"/>
      <c r="C24" s="795"/>
      <c r="D24" s="795"/>
      <c r="E24" s="795"/>
      <c r="F24" s="795"/>
      <c r="G24" s="795"/>
      <c r="H24" s="795"/>
      <c r="L24" s="553"/>
    </row>
    <row r="25" spans="1:13" ht="38.25" customHeight="1" x14ac:dyDescent="0.2">
      <c r="A25" s="391"/>
      <c r="B25" s="391"/>
      <c r="C25" s="391"/>
      <c r="D25" s="391"/>
      <c r="E25" s="391"/>
      <c r="F25" s="391"/>
      <c r="G25" s="391"/>
      <c r="H25" s="391"/>
      <c r="L25" s="566"/>
    </row>
    <row r="26" spans="1:13" ht="38.25" customHeight="1" x14ac:dyDescent="0.2">
      <c r="A26" s="391"/>
      <c r="B26" s="391"/>
      <c r="C26" s="391"/>
      <c r="D26" s="391"/>
      <c r="E26" s="391"/>
      <c r="F26" s="391"/>
      <c r="G26" s="391"/>
      <c r="H26" s="391"/>
      <c r="J26" s="553"/>
      <c r="L26" s="566"/>
      <c r="M26" s="566"/>
    </row>
    <row r="27" spans="1:13" ht="38.25" customHeight="1" x14ac:dyDescent="0.2">
      <c r="A27" s="391"/>
      <c r="B27" s="391"/>
      <c r="C27" s="391"/>
      <c r="D27" s="391"/>
      <c r="E27" s="391"/>
      <c r="F27" s="391"/>
      <c r="G27" s="391"/>
      <c r="H27" s="391"/>
      <c r="J27" s="553"/>
      <c r="L27" s="566"/>
    </row>
    <row r="28" spans="1:13" ht="38.25" customHeight="1" x14ac:dyDescent="0.2">
      <c r="A28" s="391"/>
      <c r="B28" s="391"/>
      <c r="C28" s="391"/>
      <c r="D28" s="391"/>
      <c r="E28" s="391"/>
      <c r="F28" s="391"/>
      <c r="G28" s="391"/>
      <c r="H28" s="391"/>
    </row>
    <row r="29" spans="1:13" ht="38.25" customHeight="1" x14ac:dyDescent="0.2">
      <c r="A29" s="391"/>
      <c r="B29" s="391"/>
      <c r="C29" s="391"/>
      <c r="D29" s="391"/>
      <c r="E29" s="391"/>
      <c r="F29" s="391"/>
      <c r="G29" s="391"/>
      <c r="H29" s="391"/>
      <c r="J29" s="566"/>
    </row>
    <row r="30" spans="1:13" ht="38.25" customHeight="1" x14ac:dyDescent="0.2">
      <c r="A30" s="391"/>
      <c r="B30" s="391"/>
      <c r="C30" s="391"/>
      <c r="D30" s="391"/>
      <c r="E30" s="391"/>
      <c r="F30" s="391"/>
      <c r="G30" s="391"/>
      <c r="H30" s="391"/>
      <c r="J30" s="566"/>
    </row>
    <row r="31" spans="1:13" ht="38.25" customHeight="1" x14ac:dyDescent="0.2">
      <c r="A31" s="391"/>
      <c r="B31" s="391"/>
      <c r="C31" s="391"/>
      <c r="D31" s="391"/>
      <c r="E31" s="391"/>
      <c r="F31" s="391"/>
      <c r="G31" s="391"/>
      <c r="H31" s="391"/>
    </row>
    <row r="32" spans="1:13" ht="21.75" customHeight="1" x14ac:dyDescent="0.2">
      <c r="A32" s="391"/>
      <c r="B32" s="391"/>
      <c r="C32" s="391"/>
      <c r="D32" s="391"/>
      <c r="E32" s="391"/>
      <c r="F32" s="391"/>
      <c r="G32" s="391"/>
      <c r="H32" s="391"/>
    </row>
    <row r="33" spans="1:12" ht="30" hidden="1" customHeight="1" x14ac:dyDescent="0.25">
      <c r="A33" s="391"/>
      <c r="B33" s="495" t="s">
        <v>299</v>
      </c>
      <c r="C33" s="496" t="s">
        <v>335</v>
      </c>
      <c r="D33" s="495" t="s">
        <v>238</v>
      </c>
      <c r="E33" s="497" t="s">
        <v>362</v>
      </c>
      <c r="F33" s="497" t="s">
        <v>368</v>
      </c>
      <c r="G33" s="497" t="s">
        <v>391</v>
      </c>
      <c r="H33" s="497" t="s">
        <v>300</v>
      </c>
      <c r="I33" s="481"/>
      <c r="J33" s="481"/>
      <c r="K33" s="481"/>
    </row>
    <row r="34" spans="1:12" ht="15" hidden="1" x14ac:dyDescent="0.2">
      <c r="A34" s="391"/>
      <c r="B34" s="33" t="s">
        <v>365</v>
      </c>
      <c r="C34" s="476">
        <v>-20</v>
      </c>
      <c r="D34" s="476">
        <v>71.92</v>
      </c>
      <c r="E34" s="476">
        <f>10762-10528</f>
        <v>234</v>
      </c>
      <c r="F34" s="476">
        <v>-190</v>
      </c>
      <c r="G34" s="485">
        <v>95.95</v>
      </c>
      <c r="H34" s="560">
        <f>G34/G$44</f>
        <v>5.2028752623263139E-4</v>
      </c>
      <c r="J34" s="553"/>
    </row>
    <row r="35" spans="1:12" ht="15" hidden="1" x14ac:dyDescent="0.2">
      <c r="A35" s="391"/>
      <c r="B35" s="33" t="s">
        <v>239</v>
      </c>
      <c r="C35" s="488">
        <v>38489.56</v>
      </c>
      <c r="D35" s="488">
        <v>1957.5</v>
      </c>
      <c r="E35" s="488"/>
      <c r="F35" s="488">
        <v>3786.43</v>
      </c>
      <c r="G35" s="488">
        <f>C35+D35+F35+E35</f>
        <v>44233.49</v>
      </c>
      <c r="H35" s="560">
        <f>G35/G$44</f>
        <v>0.2398554777356523</v>
      </c>
      <c r="I35" s="482"/>
      <c r="J35" s="553"/>
      <c r="K35" s="554"/>
    </row>
    <row r="36" spans="1:12" ht="15" hidden="1" x14ac:dyDescent="0.25">
      <c r="A36" s="391"/>
      <c r="B36" s="33" t="s">
        <v>240</v>
      </c>
      <c r="C36" s="488">
        <v>14903.11</v>
      </c>
      <c r="D36" s="488">
        <v>192.85</v>
      </c>
      <c r="E36" s="488">
        <v>-15478.91</v>
      </c>
      <c r="F36" s="488">
        <v>382.95</v>
      </c>
      <c r="G36" s="488">
        <f t="shared" ref="G36:G43" si="1">C36+D36+F36+E36</f>
        <v>0</v>
      </c>
      <c r="H36" s="560"/>
      <c r="I36" s="483"/>
      <c r="J36" s="553"/>
      <c r="K36" s="554"/>
      <c r="L36" s="232"/>
    </row>
    <row r="37" spans="1:12" ht="15" hidden="1" x14ac:dyDescent="0.2">
      <c r="A37" s="391"/>
      <c r="B37" s="33" t="s">
        <v>241</v>
      </c>
      <c r="C37" s="488">
        <v>44091.09</v>
      </c>
      <c r="D37" s="488">
        <f>3207.47-14</f>
        <v>3193.47</v>
      </c>
      <c r="E37" s="488"/>
      <c r="F37" s="488">
        <f>10544.9+14</f>
        <v>10558.9</v>
      </c>
      <c r="G37" s="488">
        <f t="shared" si="1"/>
        <v>57843.46</v>
      </c>
      <c r="H37" s="560">
        <f>G37/G$44</f>
        <v>0.31365534874555673</v>
      </c>
      <c r="I37" s="482"/>
      <c r="J37" s="553"/>
      <c r="K37" s="554"/>
      <c r="L37" s="232"/>
    </row>
    <row r="38" spans="1:12" ht="15" hidden="1" x14ac:dyDescent="0.25">
      <c r="A38" s="391"/>
      <c r="B38" s="33" t="s">
        <v>242</v>
      </c>
      <c r="C38" s="488">
        <v>21132.04</v>
      </c>
      <c r="D38" s="488">
        <v>549.69000000000005</v>
      </c>
      <c r="E38" s="488"/>
      <c r="F38" s="488">
        <v>-212.79</v>
      </c>
      <c r="G38" s="488">
        <f t="shared" si="1"/>
        <v>21468.94</v>
      </c>
      <c r="H38" s="560">
        <f>G38/G$44</f>
        <v>0.11641502536150901</v>
      </c>
      <c r="I38" s="483"/>
      <c r="J38" s="553"/>
      <c r="K38" s="554"/>
      <c r="L38" s="232"/>
    </row>
    <row r="39" spans="1:12" ht="15" hidden="1" x14ac:dyDescent="0.25">
      <c r="A39" s="391"/>
      <c r="B39" s="33" t="s">
        <v>243</v>
      </c>
      <c r="C39" s="488">
        <v>21091.57</v>
      </c>
      <c r="D39" s="488">
        <v>438.93</v>
      </c>
      <c r="E39" s="488">
        <v>-22513.11</v>
      </c>
      <c r="F39" s="488">
        <v>982.61</v>
      </c>
      <c r="G39" s="488">
        <f t="shared" si="1"/>
        <v>0</v>
      </c>
      <c r="H39" s="560"/>
      <c r="I39" s="483"/>
      <c r="J39" s="553"/>
      <c r="K39" s="554"/>
      <c r="L39" s="232"/>
    </row>
    <row r="40" spans="1:12" ht="15" hidden="1" x14ac:dyDescent="0.25">
      <c r="A40" s="391"/>
      <c r="B40" s="33" t="s">
        <v>244</v>
      </c>
      <c r="C40" s="488">
        <v>19933.830000000002</v>
      </c>
      <c r="D40" s="488">
        <v>860.03</v>
      </c>
      <c r="E40" s="488">
        <v>-10770</v>
      </c>
      <c r="F40" s="488">
        <v>-375.6</v>
      </c>
      <c r="G40" s="488">
        <f t="shared" si="1"/>
        <v>9648.260000000002</v>
      </c>
      <c r="H40" s="560">
        <f>G40/G$44</f>
        <v>5.2317554224588322E-2</v>
      </c>
      <c r="I40" s="483"/>
      <c r="J40" s="553"/>
      <c r="K40" s="554"/>
      <c r="L40" s="232"/>
    </row>
    <row r="41" spans="1:12" ht="15" hidden="1" x14ac:dyDescent="0.25">
      <c r="A41" s="391"/>
      <c r="B41" s="33" t="s">
        <v>363</v>
      </c>
      <c r="C41" s="488"/>
      <c r="D41" s="488">
        <v>140.21</v>
      </c>
      <c r="E41" s="488">
        <v>15482.91</v>
      </c>
      <c r="F41" s="488">
        <v>64.31</v>
      </c>
      <c r="G41" s="488">
        <f t="shared" si="1"/>
        <v>15687.43</v>
      </c>
      <c r="H41" s="560">
        <f>G41/G$44</f>
        <v>8.5064868657087747E-2</v>
      </c>
      <c r="I41" s="483"/>
      <c r="J41" s="553"/>
      <c r="K41" s="554"/>
      <c r="L41" s="232"/>
    </row>
    <row r="42" spans="1:12" ht="15" hidden="1" x14ac:dyDescent="0.25">
      <c r="A42" s="391"/>
      <c r="B42" s="33" t="s">
        <v>364</v>
      </c>
      <c r="C42" s="488"/>
      <c r="D42" s="488">
        <v>512.02</v>
      </c>
      <c r="E42" s="488">
        <v>22517.11</v>
      </c>
      <c r="F42" s="488">
        <v>817.76</v>
      </c>
      <c r="G42" s="488">
        <f t="shared" si="1"/>
        <v>23846.89</v>
      </c>
      <c r="H42" s="560">
        <f>G42/G$44</f>
        <v>0.12930942580971</v>
      </c>
      <c r="I42" s="483"/>
      <c r="J42" s="553"/>
      <c r="K42" s="554"/>
      <c r="L42" s="232"/>
    </row>
    <row r="43" spans="1:12" ht="17.25" hidden="1" customHeight="1" x14ac:dyDescent="0.2">
      <c r="A43" s="391"/>
      <c r="B43" s="33" t="s">
        <v>384</v>
      </c>
      <c r="C43" s="476"/>
      <c r="D43" s="422">
        <v>81.599999999999994</v>
      </c>
      <c r="E43" s="562">
        <v>10528</v>
      </c>
      <c r="F43" s="476">
        <v>983.24</v>
      </c>
      <c r="G43" s="476">
        <f t="shared" si="1"/>
        <v>11592.84</v>
      </c>
      <c r="H43" s="560">
        <f>G43/G$44</f>
        <v>6.2862011939663356E-2</v>
      </c>
      <c r="I43" s="482"/>
      <c r="J43" s="553"/>
      <c r="K43" s="554"/>
      <c r="L43" s="232"/>
    </row>
    <row r="44" spans="1:12" ht="15" hidden="1" x14ac:dyDescent="0.25">
      <c r="A44" s="391"/>
      <c r="B44" s="477" t="s">
        <v>256</v>
      </c>
      <c r="C44" s="478">
        <f>SUM(C34:C43)</f>
        <v>159621.20000000001</v>
      </c>
      <c r="D44" s="479">
        <f>SUM(D35:D43)</f>
        <v>7926.3000000000011</v>
      </c>
      <c r="E44" s="478">
        <f>SUM(E34:E43)</f>
        <v>0</v>
      </c>
      <c r="F44" s="478">
        <f>SUM(F34:F43)+72</f>
        <v>16869.809999999998</v>
      </c>
      <c r="G44" s="478">
        <f>SUM(G34:G43)</f>
        <v>184417.25999999998</v>
      </c>
      <c r="H44" s="561">
        <f>SUM(H34:H43)</f>
        <v>1.0000000000000002</v>
      </c>
      <c r="I44" s="484"/>
      <c r="J44" s="553"/>
      <c r="K44" s="554"/>
    </row>
    <row r="45" spans="1:12" ht="15" hidden="1" x14ac:dyDescent="0.2">
      <c r="A45" s="391"/>
      <c r="B45" s="82"/>
      <c r="C45" s="555"/>
      <c r="D45" s="555"/>
      <c r="E45" s="555"/>
      <c r="F45" s="555"/>
      <c r="G45" s="556"/>
      <c r="J45" s="553"/>
      <c r="K45" s="554"/>
    </row>
    <row r="46" spans="1:12" ht="15" hidden="1" x14ac:dyDescent="0.2">
      <c r="A46" s="391"/>
      <c r="C46" s="258"/>
      <c r="D46" s="258"/>
      <c r="E46" s="258"/>
      <c r="F46" s="258"/>
      <c r="G46" s="552"/>
      <c r="J46" s="553"/>
      <c r="K46" s="554"/>
    </row>
    <row r="47" spans="1:12" ht="15" hidden="1" x14ac:dyDescent="0.2">
      <c r="A47" s="391"/>
      <c r="B47" s="816" t="s">
        <v>360</v>
      </c>
      <c r="C47" s="816"/>
      <c r="D47" s="816"/>
      <c r="E47" s="816"/>
      <c r="F47" s="391"/>
      <c r="G47" s="391"/>
      <c r="H47" s="391"/>
      <c r="J47" s="553"/>
      <c r="K47" s="554"/>
    </row>
    <row r="48" spans="1:12" ht="47.25" hidden="1" customHeight="1" x14ac:dyDescent="0.2">
      <c r="A48" s="391"/>
      <c r="B48" s="806" t="s">
        <v>253</v>
      </c>
      <c r="C48" s="807"/>
      <c r="D48" s="807"/>
      <c r="E48" s="807"/>
      <c r="F48" s="807"/>
      <c r="G48" s="807"/>
      <c r="H48" s="405"/>
      <c r="J48" s="553"/>
      <c r="K48" s="554"/>
    </row>
    <row r="49" spans="1:11" ht="47.25" hidden="1" customHeight="1" x14ac:dyDescent="0.2">
      <c r="A49" s="391"/>
      <c r="B49" s="806" t="s">
        <v>255</v>
      </c>
      <c r="C49" s="807"/>
      <c r="D49" s="807"/>
      <c r="E49" s="807"/>
      <c r="F49" s="807"/>
      <c r="G49" s="807"/>
      <c r="H49" s="405"/>
      <c r="J49" s="553"/>
      <c r="K49" s="554"/>
    </row>
    <row r="50" spans="1:11" ht="42" hidden="1" customHeight="1" x14ac:dyDescent="0.2">
      <c r="A50" s="391"/>
      <c r="B50" s="821" t="s">
        <v>252</v>
      </c>
      <c r="C50" s="822"/>
      <c r="D50" s="822"/>
      <c r="E50" s="822"/>
      <c r="F50" s="822"/>
      <c r="G50" s="822"/>
      <c r="H50" s="405"/>
      <c r="J50" s="553"/>
      <c r="K50" s="554"/>
    </row>
    <row r="51" spans="1:11" ht="47.25" hidden="1" customHeight="1" x14ac:dyDescent="0.2">
      <c r="A51" s="391"/>
      <c r="B51" s="806" t="s">
        <v>251</v>
      </c>
      <c r="C51" s="807"/>
      <c r="D51" s="807"/>
      <c r="E51" s="807"/>
      <c r="F51" s="807"/>
      <c r="G51" s="807"/>
      <c r="H51" s="405"/>
      <c r="J51" s="553"/>
      <c r="K51" s="554"/>
    </row>
    <row r="52" spans="1:11" ht="47.25" hidden="1" customHeight="1" x14ac:dyDescent="0.2">
      <c r="A52" s="391"/>
      <c r="B52" s="806" t="s">
        <v>250</v>
      </c>
      <c r="C52" s="807"/>
      <c r="D52" s="807"/>
      <c r="E52" s="807"/>
      <c r="F52" s="807"/>
      <c r="G52" s="807"/>
      <c r="H52" s="405"/>
      <c r="J52" s="553"/>
      <c r="K52" s="554"/>
    </row>
    <row r="53" spans="1:11" ht="47.25" hidden="1" customHeight="1" x14ac:dyDescent="0.2">
      <c r="A53" s="391"/>
      <c r="B53" s="806" t="s">
        <v>249</v>
      </c>
      <c r="C53" s="807"/>
      <c r="D53" s="807"/>
      <c r="E53" s="807"/>
      <c r="F53" s="807"/>
      <c r="G53" s="807"/>
      <c r="H53" s="405"/>
      <c r="J53" s="553"/>
      <c r="K53" s="554"/>
    </row>
    <row r="54" spans="1:11" ht="46.5" hidden="1" customHeight="1" x14ac:dyDescent="0.2">
      <c r="A54" s="391"/>
      <c r="B54" s="806" t="s">
        <v>366</v>
      </c>
      <c r="C54" s="807"/>
      <c r="D54" s="807"/>
      <c r="E54" s="807"/>
      <c r="F54" s="807"/>
      <c r="G54" s="807"/>
      <c r="H54" s="405"/>
      <c r="J54" s="553"/>
      <c r="K54" s="559"/>
    </row>
    <row r="55" spans="1:11" ht="38.25" hidden="1" customHeight="1" x14ac:dyDescent="0.2">
      <c r="A55" s="391"/>
      <c r="B55" s="806" t="s">
        <v>367</v>
      </c>
      <c r="C55" s="807"/>
      <c r="D55" s="807"/>
      <c r="E55" s="807"/>
      <c r="F55" s="807"/>
      <c r="G55" s="807"/>
      <c r="H55" s="405"/>
      <c r="J55" s="553"/>
      <c r="K55" s="554"/>
    </row>
    <row r="56" spans="1:11" ht="93" hidden="1" customHeight="1" x14ac:dyDescent="0.2">
      <c r="A56" s="391"/>
      <c r="B56" s="826" t="s">
        <v>383</v>
      </c>
      <c r="C56" s="807"/>
      <c r="D56" s="807"/>
      <c r="E56" s="807"/>
      <c r="F56" s="807"/>
      <c r="G56" s="807"/>
      <c r="H56" s="391"/>
      <c r="J56" s="553"/>
      <c r="K56" s="554"/>
    </row>
    <row r="57" spans="1:11" ht="32.25" customHeight="1" x14ac:dyDescent="0.25">
      <c r="A57" s="796" t="s">
        <v>427</v>
      </c>
      <c r="B57" s="796"/>
      <c r="C57" s="796"/>
      <c r="D57" s="796"/>
      <c r="E57" s="796"/>
      <c r="F57" s="796"/>
      <c r="G57" s="796"/>
      <c r="H57" s="796"/>
      <c r="J57" s="553"/>
      <c r="K57" s="554"/>
    </row>
    <row r="58" spans="1:11" ht="16.5" customHeight="1" x14ac:dyDescent="0.25">
      <c r="A58" s="540"/>
      <c r="B58" s="551" t="s">
        <v>358</v>
      </c>
      <c r="C58" s="540"/>
      <c r="D58" s="540"/>
      <c r="E58" s="540"/>
      <c r="F58" s="540"/>
      <c r="G58" s="540"/>
      <c r="H58" s="540"/>
      <c r="J58" s="553"/>
      <c r="K58" s="554"/>
    </row>
    <row r="59" spans="1:11" ht="15" x14ac:dyDescent="0.25">
      <c r="A59" s="391"/>
      <c r="B59" s="590" t="s">
        <v>245</v>
      </c>
      <c r="C59" s="392" t="s">
        <v>246</v>
      </c>
      <c r="D59" s="590" t="s">
        <v>247</v>
      </c>
      <c r="E59" s="824" t="s">
        <v>24</v>
      </c>
      <c r="F59" s="825"/>
      <c r="G59" s="590" t="s">
        <v>248</v>
      </c>
      <c r="H59" s="391"/>
      <c r="J59" s="553"/>
      <c r="K59" s="554"/>
    </row>
    <row r="60" spans="1:11" ht="30" customHeight="1" x14ac:dyDescent="0.2">
      <c r="A60" s="391"/>
      <c r="B60" s="393">
        <v>45292</v>
      </c>
      <c r="C60" s="397" t="s">
        <v>467</v>
      </c>
      <c r="D60" s="487" t="s">
        <v>640</v>
      </c>
      <c r="E60" s="814" t="s">
        <v>639</v>
      </c>
      <c r="F60" s="814"/>
      <c r="G60" s="394">
        <v>16789</v>
      </c>
      <c r="H60" s="391"/>
    </row>
    <row r="61" spans="1:11" ht="30" hidden="1" customHeight="1" x14ac:dyDescent="0.2">
      <c r="A61" s="391"/>
      <c r="B61" s="393"/>
      <c r="C61" s="397"/>
      <c r="D61" s="487"/>
      <c r="E61" s="814"/>
      <c r="F61" s="814"/>
      <c r="G61" s="394"/>
      <c r="H61" s="391"/>
    </row>
    <row r="62" spans="1:11" ht="30" hidden="1" customHeight="1" x14ac:dyDescent="0.2">
      <c r="A62" s="391"/>
      <c r="B62" s="393"/>
      <c r="C62" s="397"/>
      <c r="D62" s="438"/>
      <c r="E62" s="814"/>
      <c r="F62" s="814"/>
      <c r="G62" s="394"/>
      <c r="H62" s="391"/>
    </row>
    <row r="63" spans="1:11" ht="15" x14ac:dyDescent="0.2">
      <c r="A63" s="391"/>
      <c r="B63" s="431"/>
      <c r="C63" s="432"/>
      <c r="D63" s="433"/>
      <c r="E63" s="432"/>
      <c r="F63" s="396" t="s">
        <v>343</v>
      </c>
      <c r="G63" s="631">
        <f>SUM(G60:G62)</f>
        <v>16789</v>
      </c>
      <c r="H63" s="391"/>
    </row>
    <row r="64" spans="1:11" ht="8.25" customHeight="1" x14ac:dyDescent="0.2">
      <c r="A64" s="391"/>
      <c r="B64" s="431"/>
      <c r="C64" s="432"/>
      <c r="D64" s="433"/>
      <c r="E64" s="432"/>
      <c r="F64" s="396"/>
      <c r="G64" s="632"/>
      <c r="H64" s="391"/>
    </row>
    <row r="65" spans="1:8" ht="21.75" hidden="1" customHeight="1" x14ac:dyDescent="0.2">
      <c r="A65" s="391"/>
      <c r="B65" s="813"/>
      <c r="C65" s="813"/>
      <c r="D65" s="813"/>
      <c r="E65" s="813"/>
      <c r="F65" s="813"/>
      <c r="G65" s="813"/>
      <c r="H65" s="391"/>
    </row>
    <row r="66" spans="1:8" ht="15" hidden="1" x14ac:dyDescent="0.2">
      <c r="A66" s="391"/>
      <c r="B66" s="434" t="s">
        <v>359</v>
      </c>
      <c r="C66" s="435" t="s">
        <v>272</v>
      </c>
      <c r="D66" s="436" t="s">
        <v>271</v>
      </c>
      <c r="E66" s="810" t="s">
        <v>24</v>
      </c>
      <c r="F66" s="811"/>
      <c r="G66" s="437" t="s">
        <v>552</v>
      </c>
      <c r="H66" s="391"/>
    </row>
    <row r="67" spans="1:8" ht="15" hidden="1" x14ac:dyDescent="0.2">
      <c r="A67" s="391"/>
      <c r="B67" s="393">
        <v>44958</v>
      </c>
      <c r="C67" s="487" t="s">
        <v>468</v>
      </c>
      <c r="D67" s="723">
        <v>169208</v>
      </c>
      <c r="E67" s="808" t="s">
        <v>548</v>
      </c>
      <c r="F67" s="809"/>
      <c r="G67" s="726"/>
      <c r="H67" s="391"/>
    </row>
    <row r="68" spans="1:8" ht="15" hidden="1" x14ac:dyDescent="0.2">
      <c r="A68" s="391"/>
      <c r="B68" s="393">
        <v>44958</v>
      </c>
      <c r="C68" s="487" t="s">
        <v>468</v>
      </c>
      <c r="D68" s="723">
        <v>189553</v>
      </c>
      <c r="E68" s="808" t="s">
        <v>547</v>
      </c>
      <c r="F68" s="809"/>
      <c r="G68" s="726"/>
      <c r="H68" s="391"/>
    </row>
    <row r="69" spans="1:8" ht="15" hidden="1" x14ac:dyDescent="0.2">
      <c r="A69" s="391"/>
      <c r="B69" s="393">
        <v>44958</v>
      </c>
      <c r="C69" s="487" t="s">
        <v>468</v>
      </c>
      <c r="D69" s="723">
        <v>196400</v>
      </c>
      <c r="E69" s="808" t="s">
        <v>550</v>
      </c>
      <c r="F69" s="809"/>
      <c r="G69" s="726"/>
      <c r="H69" s="391"/>
    </row>
    <row r="70" spans="1:8" ht="22.5" hidden="1" customHeight="1" x14ac:dyDescent="0.2">
      <c r="A70" s="391"/>
      <c r="B70" s="393">
        <v>44958</v>
      </c>
      <c r="C70" s="487" t="s">
        <v>468</v>
      </c>
      <c r="D70" s="723">
        <v>138945</v>
      </c>
      <c r="E70" s="808" t="s">
        <v>549</v>
      </c>
      <c r="F70" s="809"/>
      <c r="G70" s="726"/>
      <c r="H70" s="391"/>
    </row>
    <row r="71" spans="1:8" ht="15" hidden="1" x14ac:dyDescent="0.2">
      <c r="A71" s="391"/>
      <c r="B71" s="393">
        <v>44927</v>
      </c>
      <c r="C71" s="487" t="s">
        <v>468</v>
      </c>
      <c r="D71" s="723">
        <v>133109</v>
      </c>
      <c r="E71" s="823" t="s">
        <v>551</v>
      </c>
      <c r="F71" s="823"/>
      <c r="G71" s="726"/>
      <c r="H71" s="391"/>
    </row>
    <row r="72" spans="1:8" ht="15" hidden="1" x14ac:dyDescent="0.2">
      <c r="A72" s="391"/>
      <c r="B72" s="393">
        <v>44927</v>
      </c>
      <c r="C72" s="487" t="s">
        <v>468</v>
      </c>
      <c r="D72" s="723">
        <v>116338</v>
      </c>
      <c r="E72" s="823" t="s">
        <v>546</v>
      </c>
      <c r="F72" s="823"/>
      <c r="G72" s="726"/>
      <c r="H72" s="391"/>
    </row>
    <row r="73" spans="1:8" ht="15" hidden="1" x14ac:dyDescent="0.2">
      <c r="A73" s="391"/>
      <c r="B73" s="395"/>
      <c r="C73" s="395"/>
      <c r="D73" s="724"/>
      <c r="E73" s="395"/>
      <c r="F73" s="396" t="s">
        <v>344</v>
      </c>
      <c r="G73" s="725">
        <f>SUM(G67:G72)</f>
        <v>0</v>
      </c>
      <c r="H73" s="391"/>
    </row>
    <row r="74" spans="1:8" ht="11.25" customHeight="1" x14ac:dyDescent="0.2">
      <c r="A74" s="391"/>
      <c r="B74" s="391"/>
      <c r="C74" s="391"/>
      <c r="D74" s="391"/>
      <c r="E74" s="391"/>
      <c r="F74" s="391"/>
      <c r="G74" s="391"/>
      <c r="H74" s="391"/>
    </row>
    <row r="75" spans="1:8" ht="38.25" customHeight="1" x14ac:dyDescent="0.2">
      <c r="A75" s="795" t="s">
        <v>681</v>
      </c>
      <c r="B75" s="795"/>
      <c r="C75" s="795"/>
      <c r="D75" s="795"/>
      <c r="E75" s="795"/>
      <c r="F75" s="795"/>
      <c r="G75" s="795"/>
      <c r="H75" s="795"/>
    </row>
    <row r="76" spans="1:8" ht="15.75" hidden="1" customHeight="1" x14ac:dyDescent="0.2">
      <c r="A76" s="358"/>
      <c r="C76" s="801" t="s">
        <v>270</v>
      </c>
      <c r="D76" s="801"/>
      <c r="E76" s="398">
        <v>1823.85</v>
      </c>
      <c r="F76" s="812" t="s">
        <v>273</v>
      </c>
      <c r="G76" s="812"/>
      <c r="H76" s="358"/>
    </row>
    <row r="77" spans="1:8" ht="15.75" hidden="1" customHeight="1" x14ac:dyDescent="0.2">
      <c r="A77" s="358"/>
      <c r="C77" s="801"/>
      <c r="D77" s="801"/>
      <c r="E77" s="398"/>
      <c r="F77" s="812"/>
      <c r="G77" s="812"/>
      <c r="H77" s="358"/>
    </row>
    <row r="78" spans="1:8" ht="15.75" hidden="1" customHeight="1" x14ac:dyDescent="0.2">
      <c r="A78" s="358"/>
      <c r="C78" s="801"/>
      <c r="D78" s="801"/>
      <c r="E78" s="398"/>
      <c r="F78" s="812"/>
      <c r="G78" s="812"/>
      <c r="H78" s="358"/>
    </row>
    <row r="79" spans="1:8" ht="15.75" hidden="1" customHeight="1" x14ac:dyDescent="0.2">
      <c r="A79" s="358"/>
      <c r="C79" s="801" t="s">
        <v>232</v>
      </c>
      <c r="D79" s="801"/>
      <c r="E79" s="398">
        <f>1689.92+2978.07</f>
        <v>4667.99</v>
      </c>
      <c r="F79" s="812" t="s">
        <v>274</v>
      </c>
      <c r="G79" s="812"/>
      <c r="H79" s="358"/>
    </row>
    <row r="80" spans="1:8" ht="16.5" hidden="1" thickBot="1" x14ac:dyDescent="0.25">
      <c r="A80" s="358"/>
      <c r="B80" s="366"/>
      <c r="C80" s="805" t="s">
        <v>208</v>
      </c>
      <c r="D80" s="805"/>
      <c r="E80" s="363">
        <f>SUM(E76:E79)</f>
        <v>6491.84</v>
      </c>
      <c r="F80" s="366"/>
      <c r="G80" s="366"/>
      <c r="H80" s="358"/>
    </row>
    <row r="81" spans="1:23" ht="9.75" customHeight="1" x14ac:dyDescent="0.2">
      <c r="A81" s="358"/>
      <c r="B81" s="366"/>
      <c r="C81" s="367"/>
      <c r="D81" s="367"/>
      <c r="E81" s="439"/>
      <c r="F81" s="366"/>
      <c r="G81" s="366"/>
      <c r="H81" s="358"/>
    </row>
    <row r="82" spans="1:23" ht="33" customHeight="1" x14ac:dyDescent="0.25">
      <c r="A82" s="796" t="s">
        <v>586</v>
      </c>
      <c r="B82" s="796"/>
      <c r="C82" s="796"/>
      <c r="D82" s="796"/>
      <c r="E82" s="796"/>
      <c r="F82" s="796"/>
      <c r="G82" s="796"/>
      <c r="H82" s="796"/>
    </row>
    <row r="83" spans="1:23" ht="11.25" hidden="1" customHeight="1" x14ac:dyDescent="0.2">
      <c r="A83" s="540"/>
      <c r="B83" s="540"/>
      <c r="C83" s="540"/>
      <c r="D83" s="540"/>
      <c r="E83" s="540"/>
      <c r="F83" s="540"/>
      <c r="G83" s="540"/>
      <c r="H83" s="540"/>
    </row>
    <row r="84" spans="1:23" ht="47.25" hidden="1" customHeight="1" x14ac:dyDescent="0.2">
      <c r="A84" s="794" t="s">
        <v>393</v>
      </c>
      <c r="B84" s="794"/>
      <c r="C84" s="794"/>
      <c r="D84" s="794"/>
      <c r="E84" s="794"/>
      <c r="F84" s="794"/>
      <c r="G84" s="794"/>
      <c r="H84" s="794"/>
    </row>
    <row r="85" spans="1:23" ht="8.25" customHeight="1" x14ac:dyDescent="0.2">
      <c r="A85" s="358"/>
      <c r="B85" s="366"/>
      <c r="C85" s="367"/>
      <c r="D85" s="367"/>
      <c r="E85" s="439"/>
      <c r="F85" s="366"/>
      <c r="G85" s="366"/>
      <c r="H85" s="358"/>
    </row>
    <row r="86" spans="1:23" ht="97.5" customHeight="1" x14ac:dyDescent="0.2">
      <c r="A86" s="795" t="s">
        <v>684</v>
      </c>
      <c r="B86" s="795"/>
      <c r="C86" s="795"/>
      <c r="D86" s="795"/>
      <c r="E86" s="795"/>
      <c r="F86" s="795"/>
      <c r="G86" s="795"/>
      <c r="H86" s="795"/>
      <c r="V86" s="390"/>
      <c r="W86" s="160"/>
    </row>
    <row r="87" spans="1:23" ht="47.25" x14ac:dyDescent="0.2">
      <c r="A87" s="365"/>
      <c r="B87" s="793" t="s">
        <v>199</v>
      </c>
      <c r="C87" s="793"/>
      <c r="D87" s="368" t="s">
        <v>200</v>
      </c>
      <c r="E87" s="359" t="s">
        <v>201</v>
      </c>
      <c r="F87" s="368" t="s">
        <v>202</v>
      </c>
      <c r="G87" s="368" t="s">
        <v>682</v>
      </c>
      <c r="H87" s="365"/>
      <c r="V87" s="390"/>
      <c r="W87" s="160"/>
    </row>
    <row r="88" spans="1:23" ht="15.75" customHeight="1" x14ac:dyDescent="0.2">
      <c r="A88" s="365"/>
      <c r="B88" s="798" t="s">
        <v>11</v>
      </c>
      <c r="C88" s="798"/>
      <c r="D88" s="798"/>
      <c r="E88" s="367"/>
      <c r="F88" s="367"/>
      <c r="G88" s="367"/>
      <c r="H88" s="365"/>
      <c r="V88" s="390"/>
      <c r="W88" s="160"/>
    </row>
    <row r="89" spans="1:23" ht="15.75" customHeight="1" x14ac:dyDescent="0.2">
      <c r="A89" s="365"/>
      <c r="B89" s="799" t="s">
        <v>233</v>
      </c>
      <c r="C89" s="799"/>
      <c r="D89" s="367">
        <v>7217.96</v>
      </c>
      <c r="E89" s="367"/>
      <c r="F89" s="367">
        <f>-D89-E89+G89</f>
        <v>-2574.5999999999995</v>
      </c>
      <c r="G89" s="367">
        <f>'April''24 Revenues &amp; Expenses'!K52</f>
        <v>4643.3600000000006</v>
      </c>
      <c r="H89" s="597"/>
      <c r="I89" s="190"/>
      <c r="V89" s="390"/>
      <c r="W89" s="160"/>
    </row>
    <row r="90" spans="1:23" ht="15.75" customHeight="1" x14ac:dyDescent="0.2">
      <c r="A90" s="365"/>
      <c r="B90" s="799" t="s">
        <v>234</v>
      </c>
      <c r="C90" s="799"/>
      <c r="D90" s="367">
        <v>25000</v>
      </c>
      <c r="E90" s="367"/>
      <c r="F90" s="367">
        <f>-'April''24 Revenues &amp; Expenses'!H49</f>
        <v>-8067.55</v>
      </c>
      <c r="G90" s="367">
        <f>'April''24 Revenues &amp; Expenses'!K49+'April''24 Revenues &amp; Expenses'!K48</f>
        <v>16932.45</v>
      </c>
      <c r="H90" s="365"/>
      <c r="V90" s="390"/>
      <c r="W90" s="160"/>
    </row>
    <row r="91" spans="1:23" ht="15.75" customHeight="1" x14ac:dyDescent="0.2">
      <c r="A91" s="365"/>
      <c r="B91" s="799" t="s">
        <v>445</v>
      </c>
      <c r="C91" s="799"/>
      <c r="D91" s="367">
        <v>100000</v>
      </c>
      <c r="E91" s="367"/>
      <c r="F91" s="367">
        <f>'April''24 Revenues &amp; Expenses'!H54*-1</f>
        <v>-17237.41</v>
      </c>
      <c r="G91" s="367">
        <f>'April''24 Revenues &amp; Expenses'!K53+'April''24 Revenues &amp; Expenses'!K54</f>
        <v>82762.59</v>
      </c>
      <c r="H91" s="365"/>
      <c r="V91" s="390"/>
      <c r="W91" s="160"/>
    </row>
    <row r="92" spans="1:23" ht="15.75" customHeight="1" x14ac:dyDescent="0.2">
      <c r="A92" s="365"/>
      <c r="B92" s="798" t="s">
        <v>17</v>
      </c>
      <c r="C92" s="798"/>
      <c r="D92" s="367"/>
      <c r="E92" s="367"/>
      <c r="F92" s="367"/>
      <c r="G92" s="367"/>
      <c r="H92" s="365"/>
      <c r="V92" s="390"/>
    </row>
    <row r="93" spans="1:23" ht="15.75" customHeight="1" x14ac:dyDescent="0.2">
      <c r="A93" s="365"/>
      <c r="B93" s="799" t="s">
        <v>641</v>
      </c>
      <c r="C93" s="799"/>
      <c r="D93" s="367">
        <v>65000</v>
      </c>
      <c r="E93" s="367"/>
      <c r="F93" s="367">
        <f>-'April''24 Revenues &amp; Expenses'!H56</f>
        <v>-21666.68</v>
      </c>
      <c r="G93" s="367">
        <f>'April''24 Revenues &amp; Expenses'!K56</f>
        <v>43333.32</v>
      </c>
      <c r="H93" s="365"/>
      <c r="V93" s="390"/>
    </row>
    <row r="94" spans="1:23" ht="15.75" hidden="1" customHeight="1" x14ac:dyDescent="0.2">
      <c r="A94" s="365"/>
      <c r="B94" s="798"/>
      <c r="C94" s="798"/>
      <c r="D94" s="367"/>
      <c r="E94" s="367"/>
      <c r="F94" s="367"/>
      <c r="G94" s="367"/>
      <c r="H94" s="365"/>
      <c r="V94" s="390"/>
    </row>
    <row r="95" spans="1:23" ht="15.75" hidden="1" customHeight="1" x14ac:dyDescent="0.2">
      <c r="A95" s="365"/>
      <c r="B95" s="799"/>
      <c r="C95" s="799"/>
      <c r="D95" s="367">
        <v>0</v>
      </c>
      <c r="E95" s="367"/>
      <c r="F95" s="367">
        <f>-'April''24 Revenues &amp; Expenses'!H59</f>
        <v>0</v>
      </c>
      <c r="G95" s="367">
        <f>'April''24 Revenues &amp; Expenses'!K59</f>
        <v>0</v>
      </c>
      <c r="H95" s="365"/>
      <c r="V95" s="390"/>
    </row>
    <row r="96" spans="1:23" ht="15.75" customHeight="1" x14ac:dyDescent="0.2">
      <c r="A96" s="365"/>
      <c r="B96" s="798" t="s">
        <v>683</v>
      </c>
      <c r="C96" s="798"/>
      <c r="D96" s="367"/>
      <c r="E96" s="367"/>
      <c r="F96" s="367"/>
      <c r="G96" s="367"/>
      <c r="H96" s="365"/>
      <c r="V96" s="390"/>
    </row>
    <row r="97" spans="1:22" ht="15.75" customHeight="1" x14ac:dyDescent="0.2">
      <c r="A97" s="365"/>
      <c r="B97" s="801" t="s">
        <v>624</v>
      </c>
      <c r="C97" s="801"/>
      <c r="D97" s="367">
        <v>125000</v>
      </c>
      <c r="E97" s="367"/>
      <c r="F97" s="367">
        <f>'April''24 Revenues &amp; Expenses'!H60*-1</f>
        <v>-45364.49</v>
      </c>
      <c r="G97" s="367">
        <f>'April''24 Revenues &amp; Expenses'!K60</f>
        <v>79635.510000000009</v>
      </c>
      <c r="H97" s="365"/>
      <c r="V97" s="390"/>
    </row>
    <row r="98" spans="1:22" ht="7.5" customHeight="1" x14ac:dyDescent="0.2">
      <c r="A98" s="365"/>
      <c r="B98" s="797"/>
      <c r="C98" s="797"/>
      <c r="D98" s="367"/>
      <c r="E98" s="367"/>
      <c r="F98" s="367"/>
      <c r="G98" s="367"/>
      <c r="H98" s="365"/>
      <c r="V98" s="390"/>
    </row>
    <row r="99" spans="1:22" ht="15.75" customHeight="1" thickBot="1" x14ac:dyDescent="0.25">
      <c r="A99" s="365"/>
      <c r="B99" s="800" t="s">
        <v>235</v>
      </c>
      <c r="C99" s="800"/>
      <c r="D99" s="360">
        <f>SUM(D88:D98)</f>
        <v>322217.95999999996</v>
      </c>
      <c r="E99" s="360">
        <f>SUM(E88:E98)</f>
        <v>0</v>
      </c>
      <c r="F99" s="360">
        <f>SUM(F88:F98)</f>
        <v>-94910.73</v>
      </c>
      <c r="G99" s="360">
        <f>SUM(G88:G98)</f>
        <v>227307.23</v>
      </c>
      <c r="H99" s="365"/>
      <c r="V99" s="390"/>
    </row>
    <row r="100" spans="1:22" ht="11.25" customHeight="1" thickTop="1" x14ac:dyDescent="0.2">
      <c r="A100" s="365"/>
      <c r="B100" s="388"/>
      <c r="C100" s="388"/>
      <c r="D100" s="389"/>
      <c r="E100" s="389"/>
      <c r="F100" s="389"/>
      <c r="G100" s="389"/>
      <c r="H100" s="365"/>
      <c r="V100" s="390"/>
    </row>
    <row r="101" spans="1:22" ht="67.5" customHeight="1" x14ac:dyDescent="0.2">
      <c r="A101" s="795" t="s">
        <v>685</v>
      </c>
      <c r="B101" s="795"/>
      <c r="C101" s="795"/>
      <c r="D101" s="795"/>
      <c r="E101" s="795"/>
      <c r="F101" s="795"/>
      <c r="G101" s="795"/>
      <c r="H101" s="795"/>
    </row>
    <row r="102" spans="1:22" ht="47.25" x14ac:dyDescent="0.2">
      <c r="A102" s="365"/>
      <c r="B102" s="793" t="s">
        <v>199</v>
      </c>
      <c r="C102" s="793"/>
      <c r="D102" s="368" t="s">
        <v>200</v>
      </c>
      <c r="E102" s="359" t="s">
        <v>201</v>
      </c>
      <c r="F102" s="368" t="s">
        <v>202</v>
      </c>
      <c r="G102" s="368" t="str">
        <f>G87</f>
        <v>Ending Balance at April 30, 2024</v>
      </c>
      <c r="H102" s="365"/>
    </row>
    <row r="103" spans="1:22" ht="15.75" customHeight="1" x14ac:dyDescent="0.2">
      <c r="A103" s="365"/>
      <c r="B103" s="803" t="s">
        <v>203</v>
      </c>
      <c r="C103" s="803"/>
      <c r="D103" s="367">
        <v>0</v>
      </c>
      <c r="E103" s="367">
        <v>52000</v>
      </c>
      <c r="F103" s="367">
        <f>-'April''24 Revenues &amp; Expenses'!J67</f>
        <v>-17333.333333333332</v>
      </c>
      <c r="G103" s="367">
        <f t="shared" ref="G103:G109" si="2">D103+E103+F103</f>
        <v>34666.666666666672</v>
      </c>
      <c r="H103" s="365"/>
    </row>
    <row r="104" spans="1:22" ht="15.75" customHeight="1" x14ac:dyDescent="0.2">
      <c r="A104" s="365"/>
      <c r="B104" s="803" t="s">
        <v>254</v>
      </c>
      <c r="C104" s="803"/>
      <c r="D104" s="367">
        <v>0</v>
      </c>
      <c r="E104" s="367">
        <v>21000</v>
      </c>
      <c r="F104" s="367">
        <f>-'April''24 Revenues &amp; Expenses'!J69</f>
        <v>-7000</v>
      </c>
      <c r="G104" s="367">
        <f t="shared" si="2"/>
        <v>14000</v>
      </c>
      <c r="H104" s="365"/>
    </row>
    <row r="105" spans="1:22" ht="15.75" customHeight="1" x14ac:dyDescent="0.2">
      <c r="A105" s="365"/>
      <c r="B105" s="803" t="s">
        <v>204</v>
      </c>
      <c r="C105" s="803"/>
      <c r="D105" s="367">
        <f>'April''24 Revenues &amp; Expenses'!G75</f>
        <v>12334.5</v>
      </c>
      <c r="E105" s="367">
        <f>'April''24 Revenues &amp; Expenses'!H75</f>
        <v>0</v>
      </c>
      <c r="F105" s="367">
        <f>-'April''24 Revenues &amp; Expenses'!J75</f>
        <v>-2836.96</v>
      </c>
      <c r="G105" s="367">
        <f t="shared" si="2"/>
        <v>9497.5400000000009</v>
      </c>
      <c r="H105" s="365"/>
    </row>
    <row r="106" spans="1:22" ht="15.75" customHeight="1" x14ac:dyDescent="0.2">
      <c r="A106" s="365"/>
      <c r="B106" s="803" t="s">
        <v>205</v>
      </c>
      <c r="C106" s="803"/>
      <c r="D106" s="367">
        <f>'April''24 Revenues &amp; Expenses'!G76</f>
        <v>9033.86</v>
      </c>
      <c r="E106" s="367">
        <f>'April''24 Revenues &amp; Expenses'!H76</f>
        <v>0</v>
      </c>
      <c r="F106" s="367">
        <f>-'April''24 Revenues &amp; Expenses'!J76</f>
        <v>-541.86</v>
      </c>
      <c r="G106" s="367">
        <f t="shared" si="2"/>
        <v>8492</v>
      </c>
      <c r="H106" s="365"/>
    </row>
    <row r="107" spans="1:22" ht="15.75" customHeight="1" x14ac:dyDescent="0.2">
      <c r="A107" s="365"/>
      <c r="B107" s="803" t="s">
        <v>302</v>
      </c>
      <c r="C107" s="803"/>
      <c r="D107" s="367">
        <f>'April''24 Revenues &amp; Expenses'!G58</f>
        <v>898.7</v>
      </c>
      <c r="E107" s="367"/>
      <c r="F107" s="367">
        <f>-'April''24 Revenues &amp; Expenses'!H58</f>
        <v>0</v>
      </c>
      <c r="G107" s="367">
        <f t="shared" si="2"/>
        <v>898.7</v>
      </c>
      <c r="H107" s="365"/>
    </row>
    <row r="108" spans="1:22" ht="15.75" x14ac:dyDescent="0.2">
      <c r="A108" s="365"/>
      <c r="B108" s="803" t="s">
        <v>206</v>
      </c>
      <c r="C108" s="803"/>
      <c r="D108" s="367">
        <f>'April''24 Revenues &amp; Expenses'!G74</f>
        <v>374.76</v>
      </c>
      <c r="E108" s="367"/>
      <c r="F108" s="367">
        <f>-'April''24 Revenues &amp; Expenses'!J74</f>
        <v>0</v>
      </c>
      <c r="G108" s="367">
        <f>D108+E108+F108</f>
        <v>374.76</v>
      </c>
      <c r="H108" s="365"/>
      <c r="K108" s="553"/>
    </row>
    <row r="109" spans="1:22" ht="15.75" customHeight="1" x14ac:dyDescent="0.2">
      <c r="A109" s="365"/>
      <c r="B109" s="801" t="s">
        <v>587</v>
      </c>
      <c r="C109" s="801"/>
      <c r="D109" s="367">
        <v>0</v>
      </c>
      <c r="E109" s="367"/>
      <c r="F109" s="367">
        <f>-'April''24 Revenues &amp; Expenses'!H57</f>
        <v>0</v>
      </c>
      <c r="G109" s="367">
        <f t="shared" si="2"/>
        <v>0</v>
      </c>
      <c r="H109" s="365"/>
    </row>
    <row r="110" spans="1:22" ht="15.75" x14ac:dyDescent="0.2">
      <c r="A110" s="365"/>
      <c r="B110" s="803" t="s">
        <v>588</v>
      </c>
      <c r="C110" s="803"/>
      <c r="D110" s="367"/>
      <c r="E110" s="367">
        <v>50000</v>
      </c>
      <c r="F110" s="367">
        <f>-'April''24 Revenues &amp; Expenses'!J77</f>
        <v>-16666.666666666668</v>
      </c>
      <c r="G110" s="367">
        <f>D110+E110+F110</f>
        <v>33333.333333333328</v>
      </c>
      <c r="H110" s="365"/>
      <c r="K110" s="553"/>
    </row>
    <row r="111" spans="1:22" ht="15.75" x14ac:dyDescent="0.2">
      <c r="A111" s="365"/>
      <c r="B111" s="804"/>
      <c r="C111" s="804"/>
      <c r="D111" s="367"/>
      <c r="E111" s="367"/>
      <c r="F111" s="367"/>
      <c r="G111" s="367"/>
      <c r="H111" s="365"/>
      <c r="K111" s="553"/>
    </row>
    <row r="112" spans="1:22" ht="15.75" customHeight="1" thickBot="1" x14ac:dyDescent="0.25">
      <c r="A112" s="365"/>
      <c r="B112" s="802" t="s">
        <v>207</v>
      </c>
      <c r="C112" s="802"/>
      <c r="D112" s="360">
        <f>SUM(D103:D111)</f>
        <v>22641.82</v>
      </c>
      <c r="E112" s="360">
        <f>SUM(E103:E111)</f>
        <v>123000</v>
      </c>
      <c r="F112" s="360">
        <f>SUM(F103:F111)</f>
        <v>-44378.82</v>
      </c>
      <c r="G112" s="360">
        <f>SUM(G103:G111)</f>
        <v>101262.99999999999</v>
      </c>
      <c r="H112" s="365"/>
    </row>
    <row r="113" spans="1:8" ht="16.5" thickTop="1" x14ac:dyDescent="0.2">
      <c r="A113" s="358"/>
      <c r="B113" s="366"/>
      <c r="C113" s="366"/>
      <c r="D113" s="366"/>
      <c r="E113" s="366"/>
      <c r="F113" s="366"/>
      <c r="G113" s="366"/>
      <c r="H113" s="358"/>
    </row>
    <row r="114" spans="1:8" ht="15.75" customHeight="1" x14ac:dyDescent="0.2"/>
    <row r="115" spans="1:8" ht="6.75" customHeight="1" x14ac:dyDescent="0.2"/>
  </sheetData>
  <mergeCells count="77">
    <mergeCell ref="B91:C91"/>
    <mergeCell ref="A75:H75"/>
    <mergeCell ref="E71:F71"/>
    <mergeCell ref="E67:F67"/>
    <mergeCell ref="E68:F68"/>
    <mergeCell ref="B88:D88"/>
    <mergeCell ref="E72:F72"/>
    <mergeCell ref="C76:D76"/>
    <mergeCell ref="E69:F69"/>
    <mergeCell ref="A1:H1"/>
    <mergeCell ref="A2:H2"/>
    <mergeCell ref="A3:H3"/>
    <mergeCell ref="C11:D11"/>
    <mergeCell ref="C12:D12"/>
    <mergeCell ref="B10:C10"/>
    <mergeCell ref="A4:H4"/>
    <mergeCell ref="A5:H5"/>
    <mergeCell ref="A9:H9"/>
    <mergeCell ref="C13:D13"/>
    <mergeCell ref="B47:E47"/>
    <mergeCell ref="C14:D14"/>
    <mergeCell ref="C15:D15"/>
    <mergeCell ref="C16:D16"/>
    <mergeCell ref="B17:D17"/>
    <mergeCell ref="A24:H24"/>
    <mergeCell ref="A22:H22"/>
    <mergeCell ref="B49:G49"/>
    <mergeCell ref="B48:G48"/>
    <mergeCell ref="B51:G51"/>
    <mergeCell ref="B65:G65"/>
    <mergeCell ref="E62:F62"/>
    <mergeCell ref="B50:G50"/>
    <mergeCell ref="E60:F60"/>
    <mergeCell ref="E59:F59"/>
    <mergeCell ref="B56:G56"/>
    <mergeCell ref="E61:F61"/>
    <mergeCell ref="A57:H57"/>
    <mergeCell ref="B52:G52"/>
    <mergeCell ref="C80:D80"/>
    <mergeCell ref="B53:G53"/>
    <mergeCell ref="E70:F70"/>
    <mergeCell ref="E66:F66"/>
    <mergeCell ref="F76:G76"/>
    <mergeCell ref="C79:D79"/>
    <mergeCell ref="F79:G79"/>
    <mergeCell ref="C77:D77"/>
    <mergeCell ref="F77:G77"/>
    <mergeCell ref="C78:D78"/>
    <mergeCell ref="F78:G78"/>
    <mergeCell ref="B54:G54"/>
    <mergeCell ref="B55:G55"/>
    <mergeCell ref="B112:C112"/>
    <mergeCell ref="B108:C108"/>
    <mergeCell ref="B103:C103"/>
    <mergeCell ref="B104:C104"/>
    <mergeCell ref="B110:C110"/>
    <mergeCell ref="B109:C109"/>
    <mergeCell ref="B106:C106"/>
    <mergeCell ref="B107:C107"/>
    <mergeCell ref="B111:C111"/>
    <mergeCell ref="B105:C105"/>
    <mergeCell ref="B102:C102"/>
    <mergeCell ref="A84:H84"/>
    <mergeCell ref="A101:H101"/>
    <mergeCell ref="A82:H82"/>
    <mergeCell ref="B98:C98"/>
    <mergeCell ref="B92:C92"/>
    <mergeCell ref="B94:C94"/>
    <mergeCell ref="B95:C95"/>
    <mergeCell ref="B93:C93"/>
    <mergeCell ref="B99:C99"/>
    <mergeCell ref="A86:H86"/>
    <mergeCell ref="B87:C87"/>
    <mergeCell ref="B89:C89"/>
    <mergeCell ref="B90:C90"/>
    <mergeCell ref="B96:C96"/>
    <mergeCell ref="B97:C97"/>
  </mergeCells>
  <pageMargins left="0.75" right="0.25" top="0.75" bottom="0.75" header="0.3" footer="0.3"/>
  <pageSetup scale="68" fitToHeight="4" orientation="portrait" r:id="rId1"/>
  <headerFooter>
    <oddFooter>&amp;CPage #&amp;P of &amp;N</oddFooter>
  </headerFooter>
  <rowBreaks count="3" manualBreakCount="3">
    <brk id="22" max="7" man="1"/>
    <brk id="56" max="7" man="1"/>
    <brk id="100"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R2201"/>
  <sheetViews>
    <sheetView topLeftCell="A2165" workbookViewId="0">
      <selection activeCell="K621" sqref="K621:K622"/>
    </sheetView>
  </sheetViews>
  <sheetFormatPr defaultRowHeight="14.25" x14ac:dyDescent="0.2"/>
  <cols>
    <col min="1" max="1" width="24.625" style="421" bestFit="1" customWidth="1"/>
    <col min="2" max="2" width="9" style="403"/>
    <col min="3" max="3" width="17.75" bestFit="1" customWidth="1"/>
    <col min="7" max="7" width="15" bestFit="1" customWidth="1"/>
    <col min="8" max="8" width="9.75" bestFit="1" customWidth="1"/>
    <col min="11" max="11" width="11" bestFit="1" customWidth="1"/>
    <col min="12" max="12" width="13.25" bestFit="1" customWidth="1"/>
    <col min="13" max="13" width="19.125" customWidth="1"/>
    <col min="14" max="14" width="17.375" bestFit="1" customWidth="1"/>
  </cols>
  <sheetData>
    <row r="3" spans="1:2" ht="15" thickBot="1" x14ac:dyDescent="0.25">
      <c r="A3" s="418" t="s">
        <v>259</v>
      </c>
      <c r="B3" s="400" t="s">
        <v>260</v>
      </c>
    </row>
    <row r="4" spans="1:2" ht="15" thickTop="1" x14ac:dyDescent="0.2">
      <c r="A4" s="419">
        <v>42370</v>
      </c>
      <c r="B4" s="401">
        <v>316020.78000000003</v>
      </c>
    </row>
    <row r="5" spans="1:2" x14ac:dyDescent="0.2">
      <c r="A5" s="420">
        <v>42373</v>
      </c>
      <c r="B5" s="402">
        <v>315970.78000000003</v>
      </c>
    </row>
    <row r="6" spans="1:2" x14ac:dyDescent="0.2">
      <c r="A6" s="420">
        <v>42374</v>
      </c>
      <c r="B6" s="402">
        <v>320557.63</v>
      </c>
    </row>
    <row r="7" spans="1:2" x14ac:dyDescent="0.2">
      <c r="A7" s="420">
        <v>42375</v>
      </c>
      <c r="B7" s="402">
        <f>B6</f>
        <v>320557.63</v>
      </c>
    </row>
    <row r="8" spans="1:2" x14ac:dyDescent="0.2">
      <c r="A8" s="420">
        <v>42376</v>
      </c>
      <c r="B8" s="402">
        <v>323108.86</v>
      </c>
    </row>
    <row r="9" spans="1:2" x14ac:dyDescent="0.2">
      <c r="A9" s="420">
        <v>42377</v>
      </c>
      <c r="B9" s="402">
        <f>B8</f>
        <v>323108.86</v>
      </c>
    </row>
    <row r="10" spans="1:2" x14ac:dyDescent="0.2">
      <c r="A10" s="420">
        <v>42380</v>
      </c>
      <c r="B10" s="402">
        <v>323239.86</v>
      </c>
    </row>
    <row r="11" spans="1:2" x14ac:dyDescent="0.2">
      <c r="A11" s="420">
        <v>42381</v>
      </c>
      <c r="B11" s="402">
        <v>288792.71999999997</v>
      </c>
    </row>
    <row r="12" spans="1:2" x14ac:dyDescent="0.2">
      <c r="A12" s="420">
        <v>42382</v>
      </c>
      <c r="B12" s="402">
        <f>B11</f>
        <v>288792.71999999997</v>
      </c>
    </row>
    <row r="13" spans="1:2" x14ac:dyDescent="0.2">
      <c r="A13" s="420">
        <v>42383</v>
      </c>
      <c r="B13" s="402">
        <v>277881.3</v>
      </c>
    </row>
    <row r="14" spans="1:2" x14ac:dyDescent="0.2">
      <c r="A14" s="420">
        <v>42384</v>
      </c>
      <c r="B14" s="402">
        <v>293922.15000000002</v>
      </c>
    </row>
    <row r="15" spans="1:2" x14ac:dyDescent="0.2">
      <c r="A15" s="420">
        <v>42387</v>
      </c>
      <c r="B15" s="402">
        <f>B14</f>
        <v>293922.15000000002</v>
      </c>
    </row>
    <row r="16" spans="1:2" x14ac:dyDescent="0.2">
      <c r="A16" s="420">
        <v>42388</v>
      </c>
      <c r="B16" s="402">
        <f>B14</f>
        <v>293922.15000000002</v>
      </c>
    </row>
    <row r="17" spans="1:2" x14ac:dyDescent="0.2">
      <c r="A17" s="420">
        <v>42389</v>
      </c>
      <c r="B17" s="402">
        <v>294002.2</v>
      </c>
    </row>
    <row r="18" spans="1:2" x14ac:dyDescent="0.2">
      <c r="A18" s="420">
        <v>42390</v>
      </c>
      <c r="B18" s="402">
        <v>285645.33</v>
      </c>
    </row>
    <row r="19" spans="1:2" x14ac:dyDescent="0.2">
      <c r="A19" s="420">
        <v>42391</v>
      </c>
      <c r="B19" s="402">
        <f>B18</f>
        <v>285645.33</v>
      </c>
    </row>
    <row r="20" spans="1:2" x14ac:dyDescent="0.2">
      <c r="A20" s="420">
        <v>42394</v>
      </c>
      <c r="B20" s="402">
        <v>310939.57</v>
      </c>
    </row>
    <row r="21" spans="1:2" x14ac:dyDescent="0.2">
      <c r="A21" s="420">
        <v>42395</v>
      </c>
      <c r="B21" s="402">
        <v>285520.28000000003</v>
      </c>
    </row>
    <row r="22" spans="1:2" x14ac:dyDescent="0.2">
      <c r="A22" s="420">
        <v>42396</v>
      </c>
      <c r="B22" s="402">
        <f>B21</f>
        <v>285520.28000000003</v>
      </c>
    </row>
    <row r="23" spans="1:2" x14ac:dyDescent="0.2">
      <c r="A23" s="420">
        <v>42397</v>
      </c>
      <c r="B23" s="402">
        <v>282022.58</v>
      </c>
    </row>
    <row r="24" spans="1:2" x14ac:dyDescent="0.2">
      <c r="A24" s="420">
        <v>42398</v>
      </c>
      <c r="B24" s="402">
        <v>294848.15999999997</v>
      </c>
    </row>
    <row r="25" spans="1:2" x14ac:dyDescent="0.2">
      <c r="A25" s="420">
        <v>42401</v>
      </c>
      <c r="B25" s="402">
        <v>295971.7</v>
      </c>
    </row>
    <row r="26" spans="1:2" x14ac:dyDescent="0.2">
      <c r="A26" s="420">
        <v>42402</v>
      </c>
      <c r="B26" s="402">
        <v>342700.41</v>
      </c>
    </row>
    <row r="27" spans="1:2" x14ac:dyDescent="0.2">
      <c r="A27" s="420">
        <v>42403</v>
      </c>
      <c r="B27" s="402">
        <f>B26</f>
        <v>342700.41</v>
      </c>
    </row>
    <row r="28" spans="1:2" x14ac:dyDescent="0.2">
      <c r="A28" s="420">
        <v>42404</v>
      </c>
      <c r="B28" s="402">
        <v>337638.63</v>
      </c>
    </row>
    <row r="29" spans="1:2" x14ac:dyDescent="0.2">
      <c r="A29" s="420">
        <v>42405</v>
      </c>
      <c r="B29" s="402">
        <v>367843.39</v>
      </c>
    </row>
    <row r="30" spans="1:2" x14ac:dyDescent="0.2">
      <c r="A30" s="420">
        <v>42408</v>
      </c>
      <c r="B30" s="402">
        <v>367773.39</v>
      </c>
    </row>
    <row r="31" spans="1:2" x14ac:dyDescent="0.2">
      <c r="A31" s="420">
        <v>42409</v>
      </c>
      <c r="B31" s="402">
        <v>339527.33</v>
      </c>
    </row>
    <row r="32" spans="1:2" x14ac:dyDescent="0.2">
      <c r="A32" s="420">
        <v>42410</v>
      </c>
      <c r="B32" s="402">
        <f>B31</f>
        <v>339527.33</v>
      </c>
    </row>
    <row r="33" spans="1:2" x14ac:dyDescent="0.2">
      <c r="A33" s="420">
        <v>42411</v>
      </c>
      <c r="B33" s="402">
        <v>336968.79</v>
      </c>
    </row>
    <row r="34" spans="1:2" x14ac:dyDescent="0.2">
      <c r="A34" s="420">
        <v>42412</v>
      </c>
      <c r="B34" s="402">
        <v>337055.76</v>
      </c>
    </row>
    <row r="35" spans="1:2" x14ac:dyDescent="0.2">
      <c r="A35" s="420">
        <v>42415</v>
      </c>
      <c r="B35" s="402">
        <f>B34</f>
        <v>337055.76</v>
      </c>
    </row>
    <row r="36" spans="1:2" x14ac:dyDescent="0.2">
      <c r="A36" s="420">
        <v>42416</v>
      </c>
      <c r="B36" s="402">
        <f>B35</f>
        <v>337055.76</v>
      </c>
    </row>
    <row r="37" spans="1:2" x14ac:dyDescent="0.2">
      <c r="A37" s="420">
        <v>42417</v>
      </c>
      <c r="B37" s="402">
        <v>365266.06</v>
      </c>
    </row>
    <row r="38" spans="1:2" x14ac:dyDescent="0.2">
      <c r="A38" s="420">
        <v>42418</v>
      </c>
      <c r="B38" s="402">
        <v>360871.98</v>
      </c>
    </row>
    <row r="39" spans="1:2" x14ac:dyDescent="0.2">
      <c r="A39" s="420">
        <v>42419</v>
      </c>
      <c r="B39" s="402">
        <f>B38</f>
        <v>360871.98</v>
      </c>
    </row>
    <row r="40" spans="1:2" x14ac:dyDescent="0.2">
      <c r="A40" s="420">
        <v>42421</v>
      </c>
      <c r="B40" s="402">
        <f>B39</f>
        <v>360871.98</v>
      </c>
    </row>
    <row r="41" spans="1:2" x14ac:dyDescent="0.2">
      <c r="A41" s="420">
        <v>42423</v>
      </c>
      <c r="B41" s="402">
        <v>355845.62</v>
      </c>
    </row>
    <row r="42" spans="1:2" x14ac:dyDescent="0.2">
      <c r="A42" s="420">
        <v>42424</v>
      </c>
      <c r="B42" s="402">
        <f>B41</f>
        <v>355845.62</v>
      </c>
    </row>
    <row r="43" spans="1:2" x14ac:dyDescent="0.2">
      <c r="A43" s="420">
        <v>42425</v>
      </c>
      <c r="B43" s="402">
        <v>345399.7</v>
      </c>
    </row>
    <row r="44" spans="1:2" x14ac:dyDescent="0.2">
      <c r="A44" s="420">
        <v>42426</v>
      </c>
      <c r="B44" s="402">
        <v>370500.69</v>
      </c>
    </row>
    <row r="45" spans="1:2" x14ac:dyDescent="0.2">
      <c r="A45" s="420">
        <v>42429</v>
      </c>
      <c r="B45" s="402">
        <v>389846.49</v>
      </c>
    </row>
    <row r="46" spans="1:2" x14ac:dyDescent="0.2">
      <c r="A46" s="420">
        <v>42430</v>
      </c>
      <c r="B46" s="402">
        <f>B45</f>
        <v>389846.49</v>
      </c>
    </row>
    <row r="47" spans="1:2" x14ac:dyDescent="0.2">
      <c r="A47" s="420">
        <v>42431</v>
      </c>
      <c r="B47" s="402">
        <f>B46</f>
        <v>389846.49</v>
      </c>
    </row>
    <row r="48" spans="1:2" x14ac:dyDescent="0.2">
      <c r="A48" s="420">
        <v>42432</v>
      </c>
      <c r="B48" s="402">
        <v>378391.97</v>
      </c>
    </row>
    <row r="49" spans="1:2" x14ac:dyDescent="0.2">
      <c r="A49" s="420">
        <v>42433</v>
      </c>
      <c r="B49" s="402">
        <v>424034.23</v>
      </c>
    </row>
    <row r="50" spans="1:2" x14ac:dyDescent="0.2">
      <c r="A50" s="420">
        <v>42436</v>
      </c>
      <c r="B50" s="402">
        <f>B49</f>
        <v>424034.23</v>
      </c>
    </row>
    <row r="51" spans="1:2" x14ac:dyDescent="0.2">
      <c r="A51" s="420">
        <v>42437</v>
      </c>
      <c r="B51" s="402">
        <v>386665.73</v>
      </c>
    </row>
    <row r="52" spans="1:2" x14ac:dyDescent="0.2">
      <c r="A52" s="420">
        <v>42438</v>
      </c>
      <c r="B52" s="402">
        <f>B51</f>
        <v>386665.73</v>
      </c>
    </row>
    <row r="53" spans="1:2" x14ac:dyDescent="0.2">
      <c r="A53" s="420">
        <v>42439</v>
      </c>
      <c r="B53" s="402">
        <v>389219.85</v>
      </c>
    </row>
    <row r="54" spans="1:2" x14ac:dyDescent="0.2">
      <c r="A54" s="420">
        <v>42440</v>
      </c>
      <c r="B54" s="402">
        <v>406100.98</v>
      </c>
    </row>
    <row r="55" spans="1:2" x14ac:dyDescent="0.2">
      <c r="A55" s="420">
        <v>42443</v>
      </c>
      <c r="B55" s="402">
        <v>407873.33</v>
      </c>
    </row>
    <row r="56" spans="1:2" x14ac:dyDescent="0.2">
      <c r="A56" s="420">
        <v>42444</v>
      </c>
      <c r="B56" s="402">
        <v>407992.23</v>
      </c>
    </row>
    <row r="57" spans="1:2" x14ac:dyDescent="0.2">
      <c r="A57" s="420">
        <v>42445</v>
      </c>
      <c r="B57" s="402">
        <v>433808.81</v>
      </c>
    </row>
    <row r="58" spans="1:2" x14ac:dyDescent="0.2">
      <c r="A58" s="420">
        <v>42446</v>
      </c>
      <c r="B58" s="402">
        <v>422290.94</v>
      </c>
    </row>
    <row r="59" spans="1:2" x14ac:dyDescent="0.2">
      <c r="A59" s="420">
        <v>42447</v>
      </c>
      <c r="B59" s="402">
        <v>468026.54</v>
      </c>
    </row>
    <row r="60" spans="1:2" x14ac:dyDescent="0.2">
      <c r="A60" s="420">
        <v>42450</v>
      </c>
      <c r="B60" s="402">
        <v>348026.54</v>
      </c>
    </row>
    <row r="61" spans="1:2" x14ac:dyDescent="0.2">
      <c r="A61" s="420">
        <v>42451</v>
      </c>
      <c r="B61" s="402">
        <v>312876.71000000002</v>
      </c>
    </row>
    <row r="62" spans="1:2" x14ac:dyDescent="0.2">
      <c r="A62" s="420">
        <v>42452</v>
      </c>
      <c r="B62" s="402">
        <v>314939.26</v>
      </c>
    </row>
    <row r="63" spans="1:2" x14ac:dyDescent="0.2">
      <c r="A63" s="420">
        <v>42453</v>
      </c>
      <c r="B63" s="402">
        <v>309254.23</v>
      </c>
    </row>
    <row r="64" spans="1:2" x14ac:dyDescent="0.2">
      <c r="A64" s="420">
        <v>42454</v>
      </c>
      <c r="B64" s="402">
        <v>308314.94</v>
      </c>
    </row>
    <row r="65" spans="1:2" x14ac:dyDescent="0.2">
      <c r="A65" s="420">
        <v>42457</v>
      </c>
      <c r="B65" s="402">
        <f>B64</f>
        <v>308314.94</v>
      </c>
    </row>
    <row r="66" spans="1:2" x14ac:dyDescent="0.2">
      <c r="A66" s="420">
        <v>42458</v>
      </c>
      <c r="B66" s="402">
        <v>308501.75</v>
      </c>
    </row>
    <row r="67" spans="1:2" x14ac:dyDescent="0.2">
      <c r="A67" s="420">
        <v>42459</v>
      </c>
      <c r="B67" s="402">
        <f>B66</f>
        <v>308501.75</v>
      </c>
    </row>
    <row r="68" spans="1:2" x14ac:dyDescent="0.2">
      <c r="A68" s="420">
        <v>42460</v>
      </c>
      <c r="B68" s="402">
        <v>309191.53000000003</v>
      </c>
    </row>
    <row r="69" spans="1:2" x14ac:dyDescent="0.2">
      <c r="A69" s="420">
        <v>42461</v>
      </c>
      <c r="B69" s="402">
        <f>B68</f>
        <v>309191.53000000003</v>
      </c>
    </row>
    <row r="70" spans="1:2" x14ac:dyDescent="0.2">
      <c r="A70" s="420">
        <v>42464</v>
      </c>
      <c r="B70" s="402">
        <v>273521.59999999998</v>
      </c>
    </row>
    <row r="71" spans="1:2" x14ac:dyDescent="0.2">
      <c r="A71" s="420">
        <v>42465</v>
      </c>
      <c r="B71" s="402">
        <f>B70</f>
        <v>273521.59999999998</v>
      </c>
    </row>
    <row r="72" spans="1:2" x14ac:dyDescent="0.2">
      <c r="A72" s="420">
        <v>42466</v>
      </c>
      <c r="B72" s="402">
        <v>272690.59999999998</v>
      </c>
    </row>
    <row r="73" spans="1:2" x14ac:dyDescent="0.2">
      <c r="A73" s="420">
        <v>42467</v>
      </c>
      <c r="B73" s="402">
        <v>269582.73</v>
      </c>
    </row>
    <row r="74" spans="1:2" x14ac:dyDescent="0.2">
      <c r="A74" s="420">
        <v>42468</v>
      </c>
      <c r="B74" s="402">
        <f>B73</f>
        <v>269582.73</v>
      </c>
    </row>
    <row r="75" spans="1:2" x14ac:dyDescent="0.2">
      <c r="A75" s="420">
        <v>42471</v>
      </c>
      <c r="B75" s="402">
        <v>269763.98</v>
      </c>
    </row>
    <row r="76" spans="1:2" x14ac:dyDescent="0.2">
      <c r="A76" s="420">
        <v>42472</v>
      </c>
      <c r="B76" s="402">
        <f>B75</f>
        <v>269763.98</v>
      </c>
    </row>
    <row r="77" spans="1:2" x14ac:dyDescent="0.2">
      <c r="A77" s="420">
        <v>42473</v>
      </c>
      <c r="B77" s="402">
        <v>269925.98</v>
      </c>
    </row>
    <row r="78" spans="1:2" x14ac:dyDescent="0.2">
      <c r="A78" s="420">
        <v>42474</v>
      </c>
      <c r="B78" s="402">
        <v>262853.87</v>
      </c>
    </row>
    <row r="79" spans="1:2" x14ac:dyDescent="0.2">
      <c r="A79" s="420">
        <v>42475</v>
      </c>
      <c r="B79" s="402">
        <v>285492.90999999997</v>
      </c>
    </row>
    <row r="80" spans="1:2" x14ac:dyDescent="0.2">
      <c r="A80" s="420">
        <v>42478</v>
      </c>
      <c r="B80" s="402">
        <v>248936.49</v>
      </c>
    </row>
    <row r="81" spans="1:2" x14ac:dyDescent="0.2">
      <c r="A81" s="420">
        <v>42479</v>
      </c>
      <c r="B81" s="402">
        <v>299276.93</v>
      </c>
    </row>
    <row r="82" spans="1:2" x14ac:dyDescent="0.2">
      <c r="A82" s="420">
        <v>42480</v>
      </c>
      <c r="B82" s="402">
        <v>298671.93</v>
      </c>
    </row>
    <row r="83" spans="1:2" x14ac:dyDescent="0.2">
      <c r="A83" s="420">
        <v>42481</v>
      </c>
      <c r="B83" s="402">
        <v>300188.76</v>
      </c>
    </row>
    <row r="84" spans="1:2" x14ac:dyDescent="0.2">
      <c r="A84" s="420">
        <v>42482</v>
      </c>
      <c r="B84" s="402">
        <v>320014.86</v>
      </c>
    </row>
    <row r="85" spans="1:2" x14ac:dyDescent="0.2">
      <c r="A85" s="420">
        <v>42485</v>
      </c>
      <c r="B85" s="402">
        <v>316702.44</v>
      </c>
    </row>
    <row r="86" spans="1:2" x14ac:dyDescent="0.2">
      <c r="A86" s="420">
        <v>42486</v>
      </c>
      <c r="B86" s="402">
        <f>B85</f>
        <v>316702.44</v>
      </c>
    </row>
    <row r="87" spans="1:2" x14ac:dyDescent="0.2">
      <c r="A87" s="420">
        <v>42487</v>
      </c>
      <c r="B87" s="402">
        <v>316945.44</v>
      </c>
    </row>
    <row r="88" spans="1:2" x14ac:dyDescent="0.2">
      <c r="A88" s="420">
        <v>42488</v>
      </c>
      <c r="B88" s="402">
        <v>320979.96999999997</v>
      </c>
    </row>
    <row r="89" spans="1:2" x14ac:dyDescent="0.2">
      <c r="A89" s="420">
        <v>42489</v>
      </c>
      <c r="B89" s="402">
        <f>B88</f>
        <v>320979.96999999997</v>
      </c>
    </row>
    <row r="90" spans="1:2" x14ac:dyDescent="0.2">
      <c r="A90" s="420">
        <v>42492</v>
      </c>
      <c r="B90" s="402">
        <v>285992.84000000003</v>
      </c>
    </row>
    <row r="91" spans="1:2" x14ac:dyDescent="0.2">
      <c r="A91" s="420">
        <v>42493</v>
      </c>
      <c r="B91" s="402">
        <v>286063.08</v>
      </c>
    </row>
    <row r="92" spans="1:2" x14ac:dyDescent="0.2">
      <c r="A92" s="420">
        <v>42494</v>
      </c>
      <c r="B92" s="402">
        <v>314586.46000000002</v>
      </c>
    </row>
    <row r="93" spans="1:2" x14ac:dyDescent="0.2">
      <c r="A93" s="420">
        <v>42495</v>
      </c>
      <c r="B93" s="402">
        <v>317747.52</v>
      </c>
    </row>
    <row r="94" spans="1:2" x14ac:dyDescent="0.2">
      <c r="A94" s="420">
        <v>42496</v>
      </c>
      <c r="B94" s="402">
        <f>B93</f>
        <v>317747.52</v>
      </c>
    </row>
    <row r="95" spans="1:2" x14ac:dyDescent="0.2">
      <c r="A95" s="420">
        <v>42499</v>
      </c>
      <c r="B95" s="402">
        <v>317647.52</v>
      </c>
    </row>
    <row r="96" spans="1:2" x14ac:dyDescent="0.2">
      <c r="A96" s="420">
        <v>42500</v>
      </c>
      <c r="B96" s="402">
        <v>354645.16</v>
      </c>
    </row>
    <row r="97" spans="1:2" x14ac:dyDescent="0.2">
      <c r="A97" s="420">
        <v>42501</v>
      </c>
      <c r="B97" s="402">
        <f>B96</f>
        <v>354645.16</v>
      </c>
    </row>
    <row r="98" spans="1:2" x14ac:dyDescent="0.2">
      <c r="A98" s="420">
        <v>42502</v>
      </c>
      <c r="B98" s="402">
        <v>334676.08</v>
      </c>
    </row>
    <row r="99" spans="1:2" x14ac:dyDescent="0.2">
      <c r="A99" s="420">
        <v>42503</v>
      </c>
      <c r="B99" s="402">
        <v>335053.34999999998</v>
      </c>
    </row>
    <row r="100" spans="1:2" x14ac:dyDescent="0.2">
      <c r="A100" s="420">
        <v>42506</v>
      </c>
      <c r="B100" s="402">
        <v>299641.7</v>
      </c>
    </row>
    <row r="101" spans="1:2" x14ac:dyDescent="0.2">
      <c r="A101" s="420">
        <v>42507</v>
      </c>
      <c r="B101" s="402">
        <f>B100</f>
        <v>299641.7</v>
      </c>
    </row>
    <row r="102" spans="1:2" x14ac:dyDescent="0.2">
      <c r="A102" s="420">
        <v>42508</v>
      </c>
      <c r="B102" s="402">
        <v>316034.81</v>
      </c>
    </row>
    <row r="103" spans="1:2" x14ac:dyDescent="0.2">
      <c r="A103" s="420">
        <v>42509</v>
      </c>
      <c r="B103" s="402">
        <v>320069.11</v>
      </c>
    </row>
    <row r="104" spans="1:2" x14ac:dyDescent="0.2">
      <c r="A104" s="420">
        <v>42510</v>
      </c>
      <c r="B104" s="402">
        <v>328514.03000000003</v>
      </c>
    </row>
    <row r="105" spans="1:2" x14ac:dyDescent="0.2">
      <c r="A105" s="420">
        <v>42513</v>
      </c>
      <c r="B105" s="402">
        <f>B104</f>
        <v>328514.03000000003</v>
      </c>
    </row>
    <row r="106" spans="1:2" x14ac:dyDescent="0.2">
      <c r="A106" s="420">
        <v>42514</v>
      </c>
      <c r="B106" s="402">
        <v>334541.26</v>
      </c>
    </row>
    <row r="107" spans="1:2" x14ac:dyDescent="0.2">
      <c r="A107" s="420">
        <v>42515</v>
      </c>
      <c r="B107" s="402">
        <v>329880.45</v>
      </c>
    </row>
    <row r="108" spans="1:2" x14ac:dyDescent="0.2">
      <c r="A108" s="420">
        <v>42516</v>
      </c>
      <c r="B108" s="403">
        <v>337992.17</v>
      </c>
    </row>
    <row r="109" spans="1:2" x14ac:dyDescent="0.2">
      <c r="A109" s="420">
        <v>42517</v>
      </c>
      <c r="B109" s="403">
        <v>347755.4</v>
      </c>
    </row>
    <row r="110" spans="1:2" x14ac:dyDescent="0.2">
      <c r="A110" s="420">
        <v>42520</v>
      </c>
      <c r="B110" s="403">
        <v>347755.4</v>
      </c>
    </row>
    <row r="111" spans="1:2" x14ac:dyDescent="0.2">
      <c r="A111" s="420">
        <v>42521</v>
      </c>
      <c r="B111" s="403">
        <v>312817.88</v>
      </c>
    </row>
    <row r="112" spans="1:2" x14ac:dyDescent="0.2">
      <c r="A112" s="420">
        <v>42522</v>
      </c>
      <c r="B112" s="403">
        <v>314571.3</v>
      </c>
    </row>
    <row r="113" spans="1:2" x14ac:dyDescent="0.2">
      <c r="A113" s="420">
        <v>42523</v>
      </c>
      <c r="B113" s="403">
        <v>302515.78000000003</v>
      </c>
    </row>
    <row r="114" spans="1:2" x14ac:dyDescent="0.2">
      <c r="A114" s="420">
        <v>42524</v>
      </c>
      <c r="B114" s="403">
        <v>302516</v>
      </c>
    </row>
    <row r="115" spans="1:2" x14ac:dyDescent="0.2">
      <c r="A115" s="420">
        <v>42527</v>
      </c>
      <c r="B115" s="403">
        <v>302516</v>
      </c>
    </row>
    <row r="116" spans="1:2" x14ac:dyDescent="0.2">
      <c r="A116" s="420">
        <v>42528</v>
      </c>
      <c r="B116" s="403">
        <v>302516</v>
      </c>
    </row>
    <row r="117" spans="1:2" x14ac:dyDescent="0.2">
      <c r="A117" s="420">
        <v>42529</v>
      </c>
      <c r="B117" s="403">
        <v>279865.95</v>
      </c>
    </row>
    <row r="118" spans="1:2" x14ac:dyDescent="0.2">
      <c r="A118" s="420">
        <v>42530</v>
      </c>
      <c r="B118" s="403">
        <v>279866</v>
      </c>
    </row>
    <row r="119" spans="1:2" x14ac:dyDescent="0.2">
      <c r="A119" s="420">
        <v>42531</v>
      </c>
      <c r="B119" s="403">
        <v>279866</v>
      </c>
    </row>
    <row r="120" spans="1:2" x14ac:dyDescent="0.2">
      <c r="A120" s="420">
        <v>42534</v>
      </c>
      <c r="B120" s="403">
        <v>279866</v>
      </c>
    </row>
    <row r="121" spans="1:2" x14ac:dyDescent="0.2">
      <c r="A121" s="420">
        <v>42535</v>
      </c>
      <c r="B121" s="403">
        <v>279866</v>
      </c>
    </row>
    <row r="122" spans="1:2" x14ac:dyDescent="0.2">
      <c r="A122" s="420">
        <v>42536</v>
      </c>
      <c r="B122" s="403">
        <v>290096.01</v>
      </c>
    </row>
    <row r="123" spans="1:2" x14ac:dyDescent="0.2">
      <c r="A123" s="420">
        <v>42537</v>
      </c>
      <c r="B123" s="403">
        <v>247423.5</v>
      </c>
    </row>
    <row r="124" spans="1:2" x14ac:dyDescent="0.2">
      <c r="A124" s="420">
        <v>42538</v>
      </c>
      <c r="B124" s="403">
        <v>247424</v>
      </c>
    </row>
    <row r="125" spans="1:2" x14ac:dyDescent="0.2">
      <c r="A125" s="420">
        <v>42541</v>
      </c>
      <c r="B125" s="403">
        <v>247424</v>
      </c>
    </row>
    <row r="126" spans="1:2" x14ac:dyDescent="0.2">
      <c r="A126" s="420">
        <v>42542</v>
      </c>
      <c r="B126" s="403">
        <v>255459.85</v>
      </c>
    </row>
    <row r="127" spans="1:2" x14ac:dyDescent="0.2">
      <c r="A127" s="420">
        <v>42543</v>
      </c>
      <c r="B127" s="403">
        <v>255460</v>
      </c>
    </row>
    <row r="128" spans="1:2" x14ac:dyDescent="0.2">
      <c r="A128" s="404">
        <f>A127+1</f>
        <v>42544</v>
      </c>
      <c r="B128" s="403">
        <v>240780.4</v>
      </c>
    </row>
    <row r="129" spans="1:2" x14ac:dyDescent="0.2">
      <c r="A129" s="404">
        <f>A128+1</f>
        <v>42545</v>
      </c>
      <c r="B129" s="403">
        <v>240780</v>
      </c>
    </row>
    <row r="130" spans="1:2" x14ac:dyDescent="0.2">
      <c r="A130" s="404">
        <f>A125+7</f>
        <v>42548</v>
      </c>
      <c r="B130" s="403">
        <v>205735.12</v>
      </c>
    </row>
    <row r="131" spans="1:2" x14ac:dyDescent="0.2">
      <c r="A131" s="404">
        <f>A126+7</f>
        <v>42549</v>
      </c>
      <c r="B131" s="403">
        <v>207489.37</v>
      </c>
    </row>
    <row r="132" spans="1:2" x14ac:dyDescent="0.2">
      <c r="A132" s="404">
        <f t="shared" ref="A132:A195" si="0">A127+7</f>
        <v>42550</v>
      </c>
      <c r="B132" s="403">
        <v>213757.9</v>
      </c>
    </row>
    <row r="133" spans="1:2" x14ac:dyDescent="0.2">
      <c r="A133" s="404">
        <f t="shared" si="0"/>
        <v>42551</v>
      </c>
      <c r="B133" s="403">
        <v>220332.56</v>
      </c>
    </row>
    <row r="134" spans="1:2" x14ac:dyDescent="0.2">
      <c r="A134" s="404">
        <f t="shared" si="0"/>
        <v>42552</v>
      </c>
      <c r="B134" s="403">
        <v>212813.84</v>
      </c>
    </row>
    <row r="135" spans="1:2" x14ac:dyDescent="0.2">
      <c r="A135" s="404">
        <f t="shared" si="0"/>
        <v>42555</v>
      </c>
      <c r="B135" s="403">
        <v>212814</v>
      </c>
    </row>
    <row r="136" spans="1:2" x14ac:dyDescent="0.2">
      <c r="A136" s="404">
        <f t="shared" si="0"/>
        <v>42556</v>
      </c>
      <c r="B136" s="403">
        <v>236539.45</v>
      </c>
    </row>
    <row r="137" spans="1:2" x14ac:dyDescent="0.2">
      <c r="A137" s="404">
        <f t="shared" si="0"/>
        <v>42557</v>
      </c>
      <c r="B137" s="403">
        <v>234224.42</v>
      </c>
    </row>
    <row r="138" spans="1:2" x14ac:dyDescent="0.2">
      <c r="A138" s="404">
        <f t="shared" si="0"/>
        <v>42558</v>
      </c>
      <c r="B138" s="403">
        <v>234132.08</v>
      </c>
    </row>
    <row r="139" spans="1:2" x14ac:dyDescent="0.2">
      <c r="A139" s="404">
        <f t="shared" si="0"/>
        <v>42559</v>
      </c>
      <c r="B139" s="403">
        <v>234132.08</v>
      </c>
    </row>
    <row r="140" spans="1:2" x14ac:dyDescent="0.2">
      <c r="A140" s="404">
        <f t="shared" si="0"/>
        <v>42562</v>
      </c>
      <c r="B140" s="403">
        <v>199890.85</v>
      </c>
    </row>
    <row r="141" spans="1:2" x14ac:dyDescent="0.2">
      <c r="A141" s="404">
        <f t="shared" si="0"/>
        <v>42563</v>
      </c>
      <c r="B141" s="403">
        <v>221114.27</v>
      </c>
    </row>
    <row r="142" spans="1:2" x14ac:dyDescent="0.2">
      <c r="A142" s="404">
        <f t="shared" si="0"/>
        <v>42564</v>
      </c>
      <c r="B142" s="403">
        <v>221114</v>
      </c>
    </row>
    <row r="143" spans="1:2" x14ac:dyDescent="0.2">
      <c r="A143" s="404">
        <f t="shared" si="0"/>
        <v>42565</v>
      </c>
      <c r="B143" s="403">
        <v>214752.25</v>
      </c>
    </row>
    <row r="144" spans="1:2" x14ac:dyDescent="0.2">
      <c r="A144" s="404">
        <f t="shared" si="0"/>
        <v>42566</v>
      </c>
      <c r="B144" s="403">
        <v>294578.96999999997</v>
      </c>
    </row>
    <row r="145" spans="1:2" x14ac:dyDescent="0.2">
      <c r="A145" s="404">
        <f t="shared" si="0"/>
        <v>42569</v>
      </c>
      <c r="B145" s="403">
        <v>294579</v>
      </c>
    </row>
    <row r="146" spans="1:2" x14ac:dyDescent="0.2">
      <c r="A146" s="404">
        <f t="shared" si="0"/>
        <v>42570</v>
      </c>
      <c r="B146" s="403">
        <v>294579</v>
      </c>
    </row>
    <row r="147" spans="1:2" x14ac:dyDescent="0.2">
      <c r="A147" s="404">
        <f t="shared" si="0"/>
        <v>42571</v>
      </c>
      <c r="B147" s="403">
        <v>328195.42</v>
      </c>
    </row>
    <row r="148" spans="1:2" x14ac:dyDescent="0.2">
      <c r="A148" s="404">
        <f t="shared" si="0"/>
        <v>42572</v>
      </c>
      <c r="B148" s="403">
        <v>407865.86</v>
      </c>
    </row>
    <row r="149" spans="1:2" x14ac:dyDescent="0.2">
      <c r="A149" s="404">
        <f t="shared" si="0"/>
        <v>42573</v>
      </c>
      <c r="B149" s="403">
        <v>409053.93</v>
      </c>
    </row>
    <row r="150" spans="1:2" x14ac:dyDescent="0.2">
      <c r="A150" s="404">
        <f t="shared" si="0"/>
        <v>42576</v>
      </c>
      <c r="B150" s="403">
        <v>372421.56</v>
      </c>
    </row>
    <row r="151" spans="1:2" x14ac:dyDescent="0.2">
      <c r="A151" s="404">
        <f t="shared" si="0"/>
        <v>42577</v>
      </c>
      <c r="B151" s="403">
        <v>375562.78</v>
      </c>
    </row>
    <row r="152" spans="1:2" x14ac:dyDescent="0.2">
      <c r="A152" s="404">
        <f t="shared" si="0"/>
        <v>42578</v>
      </c>
      <c r="B152" s="403">
        <v>375563</v>
      </c>
    </row>
    <row r="153" spans="1:2" x14ac:dyDescent="0.2">
      <c r="A153" s="404">
        <f t="shared" si="0"/>
        <v>42579</v>
      </c>
      <c r="B153" s="403">
        <v>366510.98</v>
      </c>
    </row>
    <row r="154" spans="1:2" x14ac:dyDescent="0.2">
      <c r="A154" s="404">
        <f t="shared" si="0"/>
        <v>42580</v>
      </c>
      <c r="B154" s="403">
        <v>366609.48</v>
      </c>
    </row>
    <row r="155" spans="1:2" x14ac:dyDescent="0.2">
      <c r="A155" s="404">
        <f t="shared" si="0"/>
        <v>42583</v>
      </c>
      <c r="B155" s="403">
        <v>382689.69</v>
      </c>
    </row>
    <row r="156" spans="1:2" x14ac:dyDescent="0.2">
      <c r="A156" s="404">
        <f t="shared" si="0"/>
        <v>42584</v>
      </c>
      <c r="B156" s="403">
        <v>382690</v>
      </c>
    </row>
    <row r="157" spans="1:2" x14ac:dyDescent="0.2">
      <c r="A157" s="404">
        <f t="shared" si="0"/>
        <v>42585</v>
      </c>
      <c r="B157" s="403">
        <v>387013.59</v>
      </c>
    </row>
    <row r="158" spans="1:2" x14ac:dyDescent="0.2">
      <c r="A158" s="404">
        <f t="shared" si="0"/>
        <v>42586</v>
      </c>
      <c r="B158" s="403">
        <v>382543.7</v>
      </c>
    </row>
    <row r="159" spans="1:2" x14ac:dyDescent="0.2">
      <c r="A159" s="404">
        <f t="shared" si="0"/>
        <v>42587</v>
      </c>
      <c r="B159" s="403">
        <v>382544</v>
      </c>
    </row>
    <row r="160" spans="1:2" x14ac:dyDescent="0.2">
      <c r="A160" s="404">
        <f t="shared" si="0"/>
        <v>42590</v>
      </c>
      <c r="B160" s="403">
        <v>344510.17</v>
      </c>
    </row>
    <row r="161" spans="1:2" x14ac:dyDescent="0.2">
      <c r="A161" s="404">
        <f t="shared" si="0"/>
        <v>42591</v>
      </c>
      <c r="B161" s="403">
        <v>350095.94</v>
      </c>
    </row>
    <row r="162" spans="1:2" x14ac:dyDescent="0.2">
      <c r="A162" s="404">
        <f t="shared" si="0"/>
        <v>42592</v>
      </c>
      <c r="B162" s="403">
        <v>350096</v>
      </c>
    </row>
    <row r="163" spans="1:2" x14ac:dyDescent="0.2">
      <c r="A163" s="404">
        <f t="shared" si="0"/>
        <v>42593</v>
      </c>
      <c r="B163" s="403">
        <v>355079.15</v>
      </c>
    </row>
    <row r="164" spans="1:2" x14ac:dyDescent="0.2">
      <c r="A164" s="404">
        <f t="shared" si="0"/>
        <v>42594</v>
      </c>
      <c r="B164" s="403">
        <v>356502.11</v>
      </c>
    </row>
    <row r="165" spans="1:2" x14ac:dyDescent="0.2">
      <c r="A165" s="404">
        <f t="shared" si="0"/>
        <v>42597</v>
      </c>
      <c r="B165" s="403">
        <v>408622.46</v>
      </c>
    </row>
    <row r="166" spans="1:2" x14ac:dyDescent="0.2">
      <c r="A166" s="404">
        <f t="shared" si="0"/>
        <v>42598</v>
      </c>
      <c r="B166" s="403">
        <v>408622</v>
      </c>
    </row>
    <row r="167" spans="1:2" x14ac:dyDescent="0.2">
      <c r="A167" s="404">
        <f t="shared" si="0"/>
        <v>42599</v>
      </c>
      <c r="B167" s="403">
        <v>408622</v>
      </c>
    </row>
    <row r="168" spans="1:2" x14ac:dyDescent="0.2">
      <c r="A168" s="404">
        <f t="shared" si="0"/>
        <v>42600</v>
      </c>
      <c r="B168" s="403">
        <v>409931.67</v>
      </c>
    </row>
    <row r="169" spans="1:2" x14ac:dyDescent="0.2">
      <c r="A169" s="404">
        <f t="shared" si="0"/>
        <v>42601</v>
      </c>
      <c r="B169" s="403">
        <v>410189.3</v>
      </c>
    </row>
    <row r="170" spans="1:2" x14ac:dyDescent="0.2">
      <c r="A170" s="404">
        <f t="shared" si="0"/>
        <v>42604</v>
      </c>
      <c r="B170" s="403">
        <v>370399.56</v>
      </c>
    </row>
    <row r="171" spans="1:2" x14ac:dyDescent="0.2">
      <c r="A171" s="404">
        <f t="shared" si="0"/>
        <v>42605</v>
      </c>
      <c r="B171" s="403">
        <v>370399.56</v>
      </c>
    </row>
    <row r="172" spans="1:2" x14ac:dyDescent="0.2">
      <c r="A172" s="404">
        <f t="shared" si="0"/>
        <v>42606</v>
      </c>
      <c r="B172" s="403">
        <v>370400</v>
      </c>
    </row>
    <row r="173" spans="1:2" x14ac:dyDescent="0.2">
      <c r="A173" s="404">
        <f t="shared" si="0"/>
        <v>42607</v>
      </c>
      <c r="B173" s="403">
        <v>359591.19</v>
      </c>
    </row>
    <row r="174" spans="1:2" x14ac:dyDescent="0.2">
      <c r="A174" s="404">
        <f t="shared" si="0"/>
        <v>42608</v>
      </c>
      <c r="B174" s="403">
        <v>399163.14</v>
      </c>
    </row>
    <row r="175" spans="1:2" x14ac:dyDescent="0.2">
      <c r="A175" s="404">
        <f t="shared" si="0"/>
        <v>42611</v>
      </c>
      <c r="B175" s="403">
        <v>407196.62</v>
      </c>
    </row>
    <row r="176" spans="1:2" x14ac:dyDescent="0.2">
      <c r="A176" s="404">
        <f t="shared" si="0"/>
        <v>42612</v>
      </c>
      <c r="B176" s="403">
        <v>422526.97</v>
      </c>
    </row>
    <row r="177" spans="1:5" x14ac:dyDescent="0.2">
      <c r="A177" s="404">
        <f t="shared" si="0"/>
        <v>42613</v>
      </c>
      <c r="B177" s="403">
        <v>479216.05</v>
      </c>
    </row>
    <row r="178" spans="1:5" x14ac:dyDescent="0.2">
      <c r="A178" s="404">
        <f t="shared" si="0"/>
        <v>42614</v>
      </c>
      <c r="B178" s="403">
        <v>479216</v>
      </c>
    </row>
    <row r="179" spans="1:5" x14ac:dyDescent="0.2">
      <c r="A179" s="404">
        <f t="shared" si="0"/>
        <v>42615</v>
      </c>
      <c r="B179" s="403">
        <v>479216</v>
      </c>
    </row>
    <row r="180" spans="1:5" x14ac:dyDescent="0.2">
      <c r="A180" s="404">
        <f t="shared" si="0"/>
        <v>42618</v>
      </c>
      <c r="B180" s="403">
        <v>479216</v>
      </c>
    </row>
    <row r="181" spans="1:5" x14ac:dyDescent="0.2">
      <c r="A181" s="404">
        <f t="shared" si="0"/>
        <v>42619</v>
      </c>
      <c r="B181" s="403">
        <v>440784.82</v>
      </c>
    </row>
    <row r="182" spans="1:5" x14ac:dyDescent="0.2">
      <c r="A182" s="404">
        <f t="shared" si="0"/>
        <v>42620</v>
      </c>
      <c r="B182" s="403">
        <v>440785</v>
      </c>
      <c r="D182" s="390"/>
      <c r="E182" s="160"/>
    </row>
    <row r="183" spans="1:5" x14ac:dyDescent="0.2">
      <c r="A183" s="404">
        <f t="shared" si="0"/>
        <v>42621</v>
      </c>
      <c r="B183" s="403">
        <v>445373.31</v>
      </c>
    </row>
    <row r="184" spans="1:5" x14ac:dyDescent="0.2">
      <c r="A184" s="404">
        <f t="shared" si="0"/>
        <v>42622</v>
      </c>
      <c r="B184" s="403">
        <v>463896.46</v>
      </c>
      <c r="D184" s="390"/>
      <c r="E184" s="160"/>
    </row>
    <row r="185" spans="1:5" x14ac:dyDescent="0.2">
      <c r="A185" s="404">
        <f t="shared" si="0"/>
        <v>42625</v>
      </c>
      <c r="B185" s="403">
        <v>463296.46</v>
      </c>
      <c r="D185" s="390"/>
      <c r="E185" s="160"/>
    </row>
    <row r="186" spans="1:5" x14ac:dyDescent="0.2">
      <c r="A186" s="404">
        <f t="shared" si="0"/>
        <v>42626</v>
      </c>
      <c r="B186" s="403">
        <v>465024.54</v>
      </c>
      <c r="D186" s="390"/>
      <c r="E186" s="160"/>
    </row>
    <row r="187" spans="1:5" x14ac:dyDescent="0.2">
      <c r="A187" s="404">
        <f t="shared" si="0"/>
        <v>42627</v>
      </c>
      <c r="B187" s="403">
        <v>465025</v>
      </c>
      <c r="D187" s="390"/>
      <c r="E187" s="160"/>
    </row>
    <row r="188" spans="1:5" x14ac:dyDescent="0.2">
      <c r="A188" s="404">
        <f t="shared" si="0"/>
        <v>42628</v>
      </c>
      <c r="B188" s="403">
        <v>447444.34</v>
      </c>
      <c r="D188" s="390"/>
      <c r="E188" s="160"/>
    </row>
    <row r="189" spans="1:5" x14ac:dyDescent="0.2">
      <c r="A189" s="404">
        <f t="shared" si="0"/>
        <v>42629</v>
      </c>
      <c r="B189" s="403">
        <v>451135.42</v>
      </c>
      <c r="D189" s="390"/>
      <c r="E189" s="160"/>
    </row>
    <row r="190" spans="1:5" x14ac:dyDescent="0.2">
      <c r="A190" s="404">
        <f t="shared" si="0"/>
        <v>42632</v>
      </c>
      <c r="B190" s="403">
        <v>413924.51</v>
      </c>
      <c r="D190" s="390"/>
      <c r="E190" s="160"/>
    </row>
    <row r="191" spans="1:5" x14ac:dyDescent="0.2">
      <c r="A191" s="404">
        <f t="shared" si="0"/>
        <v>42633</v>
      </c>
      <c r="B191" s="403">
        <v>395080.96000000002</v>
      </c>
      <c r="D191" s="390"/>
      <c r="E191" s="160"/>
    </row>
    <row r="192" spans="1:5" x14ac:dyDescent="0.2">
      <c r="A192" s="404">
        <f t="shared" si="0"/>
        <v>42634</v>
      </c>
      <c r="B192" s="403">
        <v>393852.1</v>
      </c>
      <c r="D192" s="390"/>
      <c r="E192" s="160"/>
    </row>
    <row r="193" spans="1:5" x14ac:dyDescent="0.2">
      <c r="A193" s="404">
        <f t="shared" si="0"/>
        <v>42635</v>
      </c>
      <c r="B193" s="403">
        <v>397757.18</v>
      </c>
      <c r="D193" s="390"/>
      <c r="E193" s="160"/>
    </row>
    <row r="194" spans="1:5" x14ac:dyDescent="0.2">
      <c r="A194" s="404">
        <f t="shared" si="0"/>
        <v>42636</v>
      </c>
      <c r="B194" s="403">
        <v>397757</v>
      </c>
      <c r="D194" s="390"/>
      <c r="E194" s="160"/>
    </row>
    <row r="195" spans="1:5" x14ac:dyDescent="0.2">
      <c r="A195" s="404">
        <f t="shared" si="0"/>
        <v>42639</v>
      </c>
      <c r="B195" s="403">
        <v>397757</v>
      </c>
      <c r="D195" s="390"/>
      <c r="E195" s="160"/>
    </row>
    <row r="196" spans="1:5" x14ac:dyDescent="0.2">
      <c r="A196" s="404">
        <f t="shared" ref="A196:A259" si="1">A191+7</f>
        <v>42640</v>
      </c>
      <c r="B196" s="403">
        <v>403105.59</v>
      </c>
      <c r="D196" s="390"/>
      <c r="E196" s="160"/>
    </row>
    <row r="197" spans="1:5" x14ac:dyDescent="0.2">
      <c r="A197" s="404">
        <f t="shared" si="1"/>
        <v>42641</v>
      </c>
      <c r="B197" s="403">
        <v>394170.51</v>
      </c>
      <c r="D197" s="390"/>
      <c r="E197" s="160"/>
    </row>
    <row r="198" spans="1:5" x14ac:dyDescent="0.2">
      <c r="A198" s="404">
        <f t="shared" si="1"/>
        <v>42642</v>
      </c>
      <c r="B198" s="403">
        <v>397917.56</v>
      </c>
      <c r="D198" s="390"/>
      <c r="E198" s="160"/>
    </row>
    <row r="199" spans="1:5" x14ac:dyDescent="0.2">
      <c r="A199" s="404">
        <f t="shared" si="1"/>
        <v>42643</v>
      </c>
      <c r="B199" s="403">
        <v>397918</v>
      </c>
      <c r="D199" s="390"/>
      <c r="E199" s="160"/>
    </row>
    <row r="200" spans="1:5" x14ac:dyDescent="0.2">
      <c r="A200" s="404">
        <f t="shared" si="1"/>
        <v>42646</v>
      </c>
      <c r="B200" s="403">
        <v>361701.8</v>
      </c>
      <c r="D200" s="390"/>
      <c r="E200" s="160"/>
    </row>
    <row r="201" spans="1:5" x14ac:dyDescent="0.2">
      <c r="A201" s="404">
        <f t="shared" si="1"/>
        <v>42647</v>
      </c>
      <c r="B201" s="403">
        <v>362031.95</v>
      </c>
      <c r="D201" s="390"/>
      <c r="E201" s="160"/>
    </row>
    <row r="202" spans="1:5" x14ac:dyDescent="0.2">
      <c r="A202" s="404">
        <f t="shared" si="1"/>
        <v>42648</v>
      </c>
      <c r="B202" s="403">
        <v>362032</v>
      </c>
    </row>
    <row r="203" spans="1:5" x14ac:dyDescent="0.2">
      <c r="A203" s="404">
        <f t="shared" si="1"/>
        <v>42649</v>
      </c>
      <c r="B203" s="403">
        <v>360433.13</v>
      </c>
    </row>
    <row r="204" spans="1:5" x14ac:dyDescent="0.2">
      <c r="A204" s="404">
        <f t="shared" si="1"/>
        <v>42650</v>
      </c>
      <c r="B204" s="403">
        <v>361754.66</v>
      </c>
    </row>
    <row r="205" spans="1:5" x14ac:dyDescent="0.2">
      <c r="A205" s="404">
        <f t="shared" si="1"/>
        <v>42653</v>
      </c>
      <c r="B205" s="403">
        <v>361755</v>
      </c>
    </row>
    <row r="206" spans="1:5" x14ac:dyDescent="0.2">
      <c r="A206" s="404">
        <f t="shared" si="1"/>
        <v>42654</v>
      </c>
      <c r="B206" s="403">
        <v>361755</v>
      </c>
    </row>
    <row r="207" spans="1:5" x14ac:dyDescent="0.2">
      <c r="A207" s="404">
        <f t="shared" si="1"/>
        <v>42655</v>
      </c>
      <c r="B207" s="403">
        <v>365429.62</v>
      </c>
    </row>
    <row r="208" spans="1:5" x14ac:dyDescent="0.2">
      <c r="A208" s="404">
        <f t="shared" si="1"/>
        <v>42656</v>
      </c>
      <c r="B208" s="403">
        <v>375400.83</v>
      </c>
    </row>
    <row r="209" spans="1:2" x14ac:dyDescent="0.2">
      <c r="A209" s="404">
        <f t="shared" si="1"/>
        <v>42657</v>
      </c>
      <c r="B209" s="403">
        <v>375484.03</v>
      </c>
    </row>
    <row r="210" spans="1:2" x14ac:dyDescent="0.2">
      <c r="A210" s="404">
        <f t="shared" si="1"/>
        <v>42660</v>
      </c>
      <c r="B210" s="403">
        <v>339702.96</v>
      </c>
    </row>
    <row r="211" spans="1:2" x14ac:dyDescent="0.2">
      <c r="A211" s="404">
        <f t="shared" si="1"/>
        <v>42661</v>
      </c>
      <c r="B211" s="403">
        <v>343741.39</v>
      </c>
    </row>
    <row r="212" spans="1:2" x14ac:dyDescent="0.2">
      <c r="A212" s="404">
        <f t="shared" si="1"/>
        <v>42662</v>
      </c>
      <c r="B212" s="403">
        <v>343741</v>
      </c>
    </row>
    <row r="213" spans="1:2" x14ac:dyDescent="0.2">
      <c r="A213" s="404">
        <f t="shared" si="1"/>
        <v>42663</v>
      </c>
      <c r="B213" s="403">
        <v>332267.31</v>
      </c>
    </row>
    <row r="214" spans="1:2" x14ac:dyDescent="0.2">
      <c r="A214" s="404">
        <f t="shared" si="1"/>
        <v>42664</v>
      </c>
      <c r="B214" s="403">
        <v>332482.06</v>
      </c>
    </row>
    <row r="215" spans="1:2" x14ac:dyDescent="0.2">
      <c r="A215" s="404">
        <f t="shared" si="1"/>
        <v>42667</v>
      </c>
      <c r="B215" s="403">
        <v>332482</v>
      </c>
    </row>
    <row r="216" spans="1:2" x14ac:dyDescent="0.2">
      <c r="A216" s="404">
        <f t="shared" si="1"/>
        <v>42668</v>
      </c>
      <c r="B216" s="403">
        <v>337085.39</v>
      </c>
    </row>
    <row r="217" spans="1:2" x14ac:dyDescent="0.2">
      <c r="A217" s="404">
        <f t="shared" si="1"/>
        <v>42669</v>
      </c>
      <c r="B217" s="403">
        <v>337085</v>
      </c>
    </row>
    <row r="218" spans="1:2" x14ac:dyDescent="0.2">
      <c r="A218" s="404">
        <f t="shared" si="1"/>
        <v>42670</v>
      </c>
      <c r="B218" s="403">
        <v>333113.26</v>
      </c>
    </row>
    <row r="219" spans="1:2" x14ac:dyDescent="0.2">
      <c r="A219" s="404">
        <f t="shared" si="1"/>
        <v>42671</v>
      </c>
      <c r="B219" s="403">
        <v>360993.03</v>
      </c>
    </row>
    <row r="220" spans="1:2" x14ac:dyDescent="0.2">
      <c r="A220" s="404">
        <f t="shared" si="1"/>
        <v>42674</v>
      </c>
      <c r="B220" s="403">
        <v>350567.25</v>
      </c>
    </row>
    <row r="221" spans="1:2" x14ac:dyDescent="0.2">
      <c r="A221" s="404">
        <f t="shared" si="1"/>
        <v>42675</v>
      </c>
      <c r="B221" s="403">
        <v>350939.21</v>
      </c>
    </row>
    <row r="222" spans="1:2" x14ac:dyDescent="0.2">
      <c r="A222" s="404">
        <f t="shared" si="1"/>
        <v>42676</v>
      </c>
      <c r="B222" s="403">
        <v>350939</v>
      </c>
    </row>
    <row r="223" spans="1:2" x14ac:dyDescent="0.2">
      <c r="A223" s="404">
        <f t="shared" si="1"/>
        <v>42677</v>
      </c>
      <c r="B223" s="403">
        <v>344148.64</v>
      </c>
    </row>
    <row r="224" spans="1:2" x14ac:dyDescent="0.2">
      <c r="A224" s="404">
        <f t="shared" si="1"/>
        <v>42678</v>
      </c>
      <c r="B224" s="403">
        <v>399084.27</v>
      </c>
    </row>
    <row r="225" spans="1:2" x14ac:dyDescent="0.2">
      <c r="A225" s="404">
        <f t="shared" si="1"/>
        <v>42681</v>
      </c>
      <c r="B225" s="403">
        <v>399084</v>
      </c>
    </row>
    <row r="226" spans="1:2" x14ac:dyDescent="0.2">
      <c r="A226" s="404">
        <f t="shared" si="1"/>
        <v>42682</v>
      </c>
      <c r="B226" s="403">
        <v>403667.29</v>
      </c>
    </row>
    <row r="227" spans="1:2" x14ac:dyDescent="0.2">
      <c r="A227" s="404">
        <f t="shared" si="1"/>
        <v>42683</v>
      </c>
      <c r="B227" s="403">
        <v>403667</v>
      </c>
    </row>
    <row r="228" spans="1:2" x14ac:dyDescent="0.2">
      <c r="A228" s="404">
        <f t="shared" si="1"/>
        <v>42684</v>
      </c>
      <c r="B228" s="403">
        <v>383477.25</v>
      </c>
    </row>
    <row r="229" spans="1:2" x14ac:dyDescent="0.2">
      <c r="A229" s="404">
        <f t="shared" si="1"/>
        <v>42685</v>
      </c>
      <c r="B229" s="403">
        <v>383477</v>
      </c>
    </row>
    <row r="230" spans="1:2" x14ac:dyDescent="0.2">
      <c r="A230" s="404">
        <f t="shared" si="1"/>
        <v>42688</v>
      </c>
      <c r="B230" s="403">
        <v>347717.6</v>
      </c>
    </row>
    <row r="231" spans="1:2" x14ac:dyDescent="0.2">
      <c r="A231" s="404">
        <f t="shared" si="1"/>
        <v>42689</v>
      </c>
      <c r="B231" s="403">
        <v>347836.75</v>
      </c>
    </row>
    <row r="232" spans="1:2" x14ac:dyDescent="0.2">
      <c r="A232" s="404">
        <f t="shared" si="1"/>
        <v>42690</v>
      </c>
      <c r="B232" s="403">
        <v>347836.75</v>
      </c>
    </row>
    <row r="233" spans="1:2" x14ac:dyDescent="0.2">
      <c r="A233" s="404">
        <f t="shared" si="1"/>
        <v>42691</v>
      </c>
      <c r="B233" s="403">
        <v>350935.56</v>
      </c>
    </row>
    <row r="234" spans="1:2" x14ac:dyDescent="0.2">
      <c r="A234" s="404">
        <f t="shared" si="1"/>
        <v>42692</v>
      </c>
      <c r="B234" s="403">
        <v>350936</v>
      </c>
    </row>
    <row r="235" spans="1:2" x14ac:dyDescent="0.2">
      <c r="A235" s="404">
        <f t="shared" si="1"/>
        <v>42695</v>
      </c>
      <c r="B235" s="403">
        <v>350936</v>
      </c>
    </row>
    <row r="236" spans="1:2" x14ac:dyDescent="0.2">
      <c r="A236" s="404">
        <f t="shared" si="1"/>
        <v>42696</v>
      </c>
      <c r="B236" s="403">
        <v>351588.06</v>
      </c>
    </row>
    <row r="237" spans="1:2" x14ac:dyDescent="0.2">
      <c r="A237" s="404">
        <f t="shared" si="1"/>
        <v>42697</v>
      </c>
      <c r="B237" s="403">
        <v>349477.96</v>
      </c>
    </row>
    <row r="238" spans="1:2" x14ac:dyDescent="0.2">
      <c r="A238" s="404">
        <f t="shared" si="1"/>
        <v>42698</v>
      </c>
      <c r="B238" s="403">
        <v>349478</v>
      </c>
    </row>
    <row r="239" spans="1:2" x14ac:dyDescent="0.2">
      <c r="A239" s="404">
        <f t="shared" si="1"/>
        <v>42699</v>
      </c>
      <c r="B239" s="403">
        <v>368170.66</v>
      </c>
    </row>
    <row r="240" spans="1:2" x14ac:dyDescent="0.2">
      <c r="A240" s="404">
        <f t="shared" si="1"/>
        <v>42702</v>
      </c>
      <c r="B240" s="403">
        <v>368170.66</v>
      </c>
    </row>
    <row r="241" spans="1:2" x14ac:dyDescent="0.2">
      <c r="A241" s="404">
        <f t="shared" si="1"/>
        <v>42703</v>
      </c>
      <c r="B241" s="403">
        <v>328902.64</v>
      </c>
    </row>
    <row r="242" spans="1:2" x14ac:dyDescent="0.2">
      <c r="A242" s="404">
        <f t="shared" si="1"/>
        <v>42704</v>
      </c>
      <c r="B242" s="403">
        <v>338455.85</v>
      </c>
    </row>
    <row r="243" spans="1:2" x14ac:dyDescent="0.2">
      <c r="A243" s="404">
        <f t="shared" si="1"/>
        <v>42705</v>
      </c>
      <c r="B243" s="403">
        <v>336997.18</v>
      </c>
    </row>
    <row r="244" spans="1:2" x14ac:dyDescent="0.2">
      <c r="A244" s="404">
        <f t="shared" si="1"/>
        <v>42706</v>
      </c>
      <c r="B244" s="403">
        <v>342825.59</v>
      </c>
    </row>
    <row r="245" spans="1:2" x14ac:dyDescent="0.2">
      <c r="A245" s="404">
        <f t="shared" si="1"/>
        <v>42709</v>
      </c>
      <c r="B245" s="403">
        <v>342826</v>
      </c>
    </row>
    <row r="246" spans="1:2" x14ac:dyDescent="0.2">
      <c r="A246" s="404">
        <f t="shared" si="1"/>
        <v>42710</v>
      </c>
      <c r="B246" s="403">
        <v>344457.81</v>
      </c>
    </row>
    <row r="247" spans="1:2" x14ac:dyDescent="0.2">
      <c r="A247" s="404">
        <f t="shared" si="1"/>
        <v>42711</v>
      </c>
      <c r="B247" s="403">
        <v>366772.64</v>
      </c>
    </row>
    <row r="248" spans="1:2" x14ac:dyDescent="0.2">
      <c r="A248" s="404">
        <f t="shared" si="1"/>
        <v>42712</v>
      </c>
      <c r="B248" s="403">
        <v>366772.6</v>
      </c>
    </row>
    <row r="249" spans="1:2" x14ac:dyDescent="0.2">
      <c r="A249" s="404">
        <f t="shared" si="1"/>
        <v>42713</v>
      </c>
      <c r="B249" s="403">
        <v>366773</v>
      </c>
    </row>
    <row r="250" spans="1:2" x14ac:dyDescent="0.2">
      <c r="A250" s="404">
        <f t="shared" si="1"/>
        <v>42716</v>
      </c>
      <c r="B250" s="403">
        <v>366773</v>
      </c>
    </row>
    <row r="251" spans="1:2" x14ac:dyDescent="0.2">
      <c r="A251" s="404">
        <f t="shared" si="1"/>
        <v>42717</v>
      </c>
      <c r="B251" s="403">
        <v>346535.44</v>
      </c>
    </row>
    <row r="252" spans="1:2" x14ac:dyDescent="0.2">
      <c r="A252" s="404">
        <f t="shared" si="1"/>
        <v>42718</v>
      </c>
      <c r="B252" s="403">
        <v>346535</v>
      </c>
    </row>
    <row r="253" spans="1:2" x14ac:dyDescent="0.2">
      <c r="A253" s="404">
        <f t="shared" si="1"/>
        <v>42719</v>
      </c>
      <c r="B253" s="403">
        <v>335522.11</v>
      </c>
    </row>
    <row r="254" spans="1:2" x14ac:dyDescent="0.2">
      <c r="A254" s="404">
        <f t="shared" si="1"/>
        <v>42720</v>
      </c>
      <c r="B254" s="403">
        <v>335675.99</v>
      </c>
    </row>
    <row r="255" spans="1:2" x14ac:dyDescent="0.2">
      <c r="A255" s="404">
        <f t="shared" si="1"/>
        <v>42723</v>
      </c>
      <c r="B255" s="403">
        <v>357268.43</v>
      </c>
    </row>
    <row r="256" spans="1:2" x14ac:dyDescent="0.2">
      <c r="A256" s="404">
        <f t="shared" si="1"/>
        <v>42724</v>
      </c>
      <c r="B256" s="403">
        <v>357268</v>
      </c>
    </row>
    <row r="257" spans="1:2" x14ac:dyDescent="0.2">
      <c r="A257" s="404">
        <f t="shared" si="1"/>
        <v>42725</v>
      </c>
      <c r="B257" s="403">
        <v>366192.91</v>
      </c>
    </row>
    <row r="258" spans="1:2" x14ac:dyDescent="0.2">
      <c r="A258" s="404">
        <f t="shared" si="1"/>
        <v>42726</v>
      </c>
      <c r="B258" s="403">
        <v>377001.67</v>
      </c>
    </row>
    <row r="259" spans="1:2" x14ac:dyDescent="0.2">
      <c r="A259" s="404">
        <f t="shared" si="1"/>
        <v>42727</v>
      </c>
      <c r="B259" s="403">
        <v>377329.67</v>
      </c>
    </row>
    <row r="260" spans="1:2" x14ac:dyDescent="0.2">
      <c r="A260" s="404">
        <f t="shared" ref="A260:A264" si="2">A255+7</f>
        <v>42730</v>
      </c>
      <c r="B260" s="403">
        <v>377330</v>
      </c>
    </row>
    <row r="261" spans="1:2" x14ac:dyDescent="0.2">
      <c r="A261" s="404">
        <f t="shared" si="2"/>
        <v>42731</v>
      </c>
      <c r="B261" s="403">
        <v>339782.53</v>
      </c>
    </row>
    <row r="262" spans="1:2" x14ac:dyDescent="0.2">
      <c r="A262" s="404">
        <f t="shared" si="2"/>
        <v>42732</v>
      </c>
      <c r="B262" s="403">
        <v>339783</v>
      </c>
    </row>
    <row r="263" spans="1:2" x14ac:dyDescent="0.2">
      <c r="A263" s="404">
        <f t="shared" si="2"/>
        <v>42733</v>
      </c>
      <c r="B263" s="403">
        <v>337987.77</v>
      </c>
    </row>
    <row r="264" spans="1:2" x14ac:dyDescent="0.2">
      <c r="A264" s="404">
        <f t="shared" si="2"/>
        <v>42734</v>
      </c>
      <c r="B264" s="403">
        <v>354814.33</v>
      </c>
    </row>
    <row r="265" spans="1:2" x14ac:dyDescent="0.2">
      <c r="A265" s="416">
        <v>42737</v>
      </c>
      <c r="B265" s="417">
        <v>354814</v>
      </c>
    </row>
    <row r="266" spans="1:2" x14ac:dyDescent="0.2">
      <c r="A266" s="416">
        <v>42738</v>
      </c>
      <c r="B266" s="417">
        <v>361866.86</v>
      </c>
    </row>
    <row r="267" spans="1:2" x14ac:dyDescent="0.2">
      <c r="A267" s="416">
        <v>42739</v>
      </c>
      <c r="B267" s="417">
        <v>363519.32</v>
      </c>
    </row>
    <row r="268" spans="1:2" x14ac:dyDescent="0.2">
      <c r="A268" s="416">
        <v>42740</v>
      </c>
      <c r="B268" s="417">
        <v>361866.66</v>
      </c>
    </row>
    <row r="269" spans="1:2" x14ac:dyDescent="0.2">
      <c r="A269" s="416">
        <v>42741</v>
      </c>
      <c r="B269" s="417">
        <v>363519</v>
      </c>
    </row>
    <row r="270" spans="1:2" x14ac:dyDescent="0.2">
      <c r="A270" s="416">
        <v>42744</v>
      </c>
      <c r="B270" s="417">
        <v>363543.47</v>
      </c>
    </row>
    <row r="271" spans="1:2" x14ac:dyDescent="0.2">
      <c r="A271" s="416">
        <v>42745</v>
      </c>
      <c r="B271" s="417">
        <v>328707.83</v>
      </c>
    </row>
    <row r="272" spans="1:2" x14ac:dyDescent="0.2">
      <c r="A272" s="416">
        <v>42746</v>
      </c>
      <c r="B272" s="417">
        <v>328708</v>
      </c>
    </row>
    <row r="273" spans="1:2" x14ac:dyDescent="0.2">
      <c r="A273" s="416">
        <v>42747</v>
      </c>
      <c r="B273" s="417">
        <v>321086.01</v>
      </c>
    </row>
    <row r="274" spans="1:2" x14ac:dyDescent="0.2">
      <c r="A274" s="416">
        <v>42748</v>
      </c>
      <c r="B274" s="417">
        <v>334097.28000000003</v>
      </c>
    </row>
    <row r="275" spans="1:2" x14ac:dyDescent="0.2">
      <c r="A275" s="416">
        <v>42751</v>
      </c>
      <c r="B275" s="417">
        <v>334097</v>
      </c>
    </row>
    <row r="276" spans="1:2" x14ac:dyDescent="0.2">
      <c r="A276" s="416">
        <v>42752</v>
      </c>
      <c r="B276" s="417">
        <v>268850.96000000002</v>
      </c>
    </row>
    <row r="277" spans="1:2" x14ac:dyDescent="0.2">
      <c r="A277" s="416">
        <v>42753</v>
      </c>
      <c r="B277" s="417">
        <v>268851</v>
      </c>
    </row>
    <row r="278" spans="1:2" x14ac:dyDescent="0.2">
      <c r="A278" s="416">
        <v>42754</v>
      </c>
      <c r="B278" s="417">
        <v>269075.21000000002</v>
      </c>
    </row>
    <row r="279" spans="1:2" x14ac:dyDescent="0.2">
      <c r="A279" s="416">
        <v>42755</v>
      </c>
      <c r="B279" s="417">
        <v>270983.21000000002</v>
      </c>
    </row>
    <row r="280" spans="1:2" x14ac:dyDescent="0.2">
      <c r="A280" s="416">
        <v>42758</v>
      </c>
      <c r="B280" s="417">
        <v>270983</v>
      </c>
    </row>
    <row r="281" spans="1:2" x14ac:dyDescent="0.2">
      <c r="A281" s="416">
        <v>42759</v>
      </c>
      <c r="B281" s="417">
        <v>270723.98</v>
      </c>
    </row>
    <row r="282" spans="1:2" x14ac:dyDescent="0.2">
      <c r="A282" s="416">
        <v>42760</v>
      </c>
      <c r="B282" s="417">
        <v>281353.09999999998</v>
      </c>
    </row>
    <row r="283" spans="1:2" x14ac:dyDescent="0.2">
      <c r="A283" s="416">
        <v>42761</v>
      </c>
      <c r="B283" s="417">
        <v>274313.84999999998</v>
      </c>
    </row>
    <row r="284" spans="1:2" x14ac:dyDescent="0.2">
      <c r="A284" s="416">
        <v>42762</v>
      </c>
      <c r="B284" s="417">
        <v>296447.59999999998</v>
      </c>
    </row>
    <row r="285" spans="1:2" x14ac:dyDescent="0.2">
      <c r="A285" s="416">
        <v>42765</v>
      </c>
      <c r="B285" s="417">
        <v>295107.96000000002</v>
      </c>
    </row>
    <row r="286" spans="1:2" x14ac:dyDescent="0.2">
      <c r="A286" s="416">
        <v>42766</v>
      </c>
      <c r="B286" s="417">
        <v>314030.53000000003</v>
      </c>
    </row>
    <row r="287" spans="1:2" x14ac:dyDescent="0.2">
      <c r="A287" s="416">
        <v>42767</v>
      </c>
      <c r="B287" s="417">
        <v>314031</v>
      </c>
    </row>
    <row r="288" spans="1:2" x14ac:dyDescent="0.2">
      <c r="A288" s="416">
        <v>42768</v>
      </c>
      <c r="B288" s="417">
        <v>312808.53999999998</v>
      </c>
    </row>
    <row r="289" spans="1:2" x14ac:dyDescent="0.2">
      <c r="A289" s="416">
        <v>42769</v>
      </c>
      <c r="B289" s="417">
        <v>316461.53999999998</v>
      </c>
    </row>
    <row r="290" spans="1:2" x14ac:dyDescent="0.2">
      <c r="A290" s="416">
        <v>42772</v>
      </c>
      <c r="B290" s="417">
        <v>316462</v>
      </c>
    </row>
    <row r="291" spans="1:2" x14ac:dyDescent="0.2">
      <c r="A291" s="416">
        <v>42773</v>
      </c>
      <c r="B291" s="417">
        <v>289560.21999999997</v>
      </c>
    </row>
    <row r="292" spans="1:2" x14ac:dyDescent="0.2">
      <c r="A292" s="416">
        <v>42774</v>
      </c>
      <c r="B292" s="417">
        <v>297310.21999999997</v>
      </c>
    </row>
    <row r="293" spans="1:2" x14ac:dyDescent="0.2">
      <c r="A293" s="416">
        <v>42775</v>
      </c>
      <c r="B293" s="417">
        <v>352433.91</v>
      </c>
    </row>
    <row r="294" spans="1:2" x14ac:dyDescent="0.2">
      <c r="A294" s="416">
        <v>42776</v>
      </c>
      <c r="B294" s="417">
        <v>352434</v>
      </c>
    </row>
    <row r="295" spans="1:2" x14ac:dyDescent="0.2">
      <c r="A295" s="416">
        <v>42779</v>
      </c>
      <c r="B295" s="417">
        <v>352434</v>
      </c>
    </row>
    <row r="296" spans="1:2" x14ac:dyDescent="0.2">
      <c r="A296" s="416">
        <v>42780</v>
      </c>
      <c r="B296" s="417">
        <v>352434</v>
      </c>
    </row>
    <row r="297" spans="1:2" x14ac:dyDescent="0.2">
      <c r="A297" s="416">
        <v>42781</v>
      </c>
      <c r="B297" s="417">
        <v>352542.46</v>
      </c>
    </row>
    <row r="298" spans="1:2" x14ac:dyDescent="0.2">
      <c r="A298" s="416">
        <v>42782</v>
      </c>
      <c r="B298" s="417">
        <v>383231.99</v>
      </c>
    </row>
    <row r="299" spans="1:2" x14ac:dyDescent="0.2">
      <c r="A299" s="416">
        <v>42783</v>
      </c>
      <c r="B299" s="443">
        <v>404679.36</v>
      </c>
    </row>
    <row r="300" spans="1:2" x14ac:dyDescent="0.2">
      <c r="A300" s="416">
        <v>42785</v>
      </c>
      <c r="B300" s="417">
        <v>404679</v>
      </c>
    </row>
    <row r="301" spans="1:2" x14ac:dyDescent="0.2">
      <c r="A301" s="416">
        <v>42787</v>
      </c>
      <c r="B301" s="417">
        <v>368703.72</v>
      </c>
    </row>
    <row r="302" spans="1:2" x14ac:dyDescent="0.2">
      <c r="A302" s="416">
        <v>42788</v>
      </c>
      <c r="B302" s="417">
        <v>368203.72</v>
      </c>
    </row>
    <row r="303" spans="1:2" x14ac:dyDescent="0.2">
      <c r="A303" s="416">
        <v>42789</v>
      </c>
      <c r="B303" s="417">
        <v>349211.92</v>
      </c>
    </row>
    <row r="304" spans="1:2" x14ac:dyDescent="0.2">
      <c r="A304" s="416">
        <v>42790</v>
      </c>
      <c r="B304" s="417">
        <v>384176.45</v>
      </c>
    </row>
    <row r="305" spans="1:2" x14ac:dyDescent="0.2">
      <c r="A305" s="416">
        <v>42793</v>
      </c>
      <c r="B305" s="417">
        <v>384176</v>
      </c>
    </row>
    <row r="306" spans="1:2" x14ac:dyDescent="0.2">
      <c r="A306" s="416">
        <v>42794</v>
      </c>
      <c r="B306" s="417">
        <v>384176</v>
      </c>
    </row>
    <row r="307" spans="1:2" x14ac:dyDescent="0.2">
      <c r="A307" s="416">
        <v>42795</v>
      </c>
      <c r="B307" s="417">
        <v>384176</v>
      </c>
    </row>
    <row r="308" spans="1:2" x14ac:dyDescent="0.2">
      <c r="A308" s="416">
        <v>42796</v>
      </c>
      <c r="B308" s="417">
        <v>395396.43</v>
      </c>
    </row>
    <row r="309" spans="1:2" x14ac:dyDescent="0.2">
      <c r="A309" s="416">
        <v>42797</v>
      </c>
      <c r="B309" s="417">
        <v>395396</v>
      </c>
    </row>
    <row r="310" spans="1:2" x14ac:dyDescent="0.2">
      <c r="A310" s="416">
        <v>42800</v>
      </c>
      <c r="B310" s="417">
        <v>395396</v>
      </c>
    </row>
    <row r="311" spans="1:2" x14ac:dyDescent="0.2">
      <c r="A311" s="416">
        <v>42801</v>
      </c>
      <c r="B311" s="417">
        <v>361856.47</v>
      </c>
    </row>
    <row r="312" spans="1:2" x14ac:dyDescent="0.2">
      <c r="A312" s="416">
        <v>42802</v>
      </c>
      <c r="B312" s="417">
        <v>361856</v>
      </c>
    </row>
    <row r="313" spans="1:2" x14ac:dyDescent="0.2">
      <c r="A313" s="416">
        <v>42803</v>
      </c>
      <c r="B313" s="417">
        <v>349877.16</v>
      </c>
    </row>
    <row r="314" spans="1:2" x14ac:dyDescent="0.2">
      <c r="A314" s="416">
        <v>42804</v>
      </c>
      <c r="B314" s="417">
        <v>359297.81</v>
      </c>
    </row>
    <row r="315" spans="1:2" x14ac:dyDescent="0.2">
      <c r="A315" s="416">
        <v>42807</v>
      </c>
      <c r="B315" s="417">
        <v>361678.91</v>
      </c>
    </row>
    <row r="316" spans="1:2" x14ac:dyDescent="0.2">
      <c r="A316" s="416">
        <v>42808</v>
      </c>
      <c r="B316" s="417">
        <v>361679</v>
      </c>
    </row>
    <row r="317" spans="1:2" x14ac:dyDescent="0.2">
      <c r="A317" s="416">
        <v>42809</v>
      </c>
      <c r="B317" s="417">
        <v>370843.37</v>
      </c>
    </row>
    <row r="318" spans="1:2" x14ac:dyDescent="0.2">
      <c r="A318" s="416">
        <v>42810</v>
      </c>
      <c r="B318" s="417">
        <v>377566.07</v>
      </c>
    </row>
    <row r="319" spans="1:2" x14ac:dyDescent="0.2">
      <c r="A319" s="416">
        <v>42811</v>
      </c>
      <c r="B319" s="417">
        <v>370373.97</v>
      </c>
    </row>
    <row r="320" spans="1:2" x14ac:dyDescent="0.2">
      <c r="A320" s="416">
        <v>42814</v>
      </c>
      <c r="B320" s="417">
        <v>338340.3</v>
      </c>
    </row>
    <row r="321" spans="1:2" x14ac:dyDescent="0.2">
      <c r="A321" s="416">
        <v>42815</v>
      </c>
      <c r="B321" s="417">
        <v>338340</v>
      </c>
    </row>
    <row r="322" spans="1:2" x14ac:dyDescent="0.2">
      <c r="A322" s="416">
        <v>42816</v>
      </c>
      <c r="B322" s="417">
        <v>338340</v>
      </c>
    </row>
    <row r="323" spans="1:2" x14ac:dyDescent="0.2">
      <c r="A323" s="416">
        <v>42817</v>
      </c>
      <c r="B323" s="417">
        <f>25944.71+322493.66</f>
        <v>348438.37</v>
      </c>
    </row>
    <row r="324" spans="1:2" x14ac:dyDescent="0.2">
      <c r="A324" s="416">
        <v>42818</v>
      </c>
      <c r="B324" s="417">
        <v>348438</v>
      </c>
    </row>
    <row r="325" spans="1:2" x14ac:dyDescent="0.2">
      <c r="A325" s="416">
        <v>42821</v>
      </c>
      <c r="B325" s="417">
        <v>348360.51</v>
      </c>
    </row>
    <row r="326" spans="1:2" x14ac:dyDescent="0.2">
      <c r="A326" s="416">
        <v>42822</v>
      </c>
      <c r="B326" s="403">
        <v>348440.48</v>
      </c>
    </row>
    <row r="327" spans="1:2" x14ac:dyDescent="0.2">
      <c r="A327" s="416">
        <v>42823</v>
      </c>
      <c r="B327" s="403">
        <v>348440</v>
      </c>
    </row>
    <row r="328" spans="1:2" x14ac:dyDescent="0.2">
      <c r="A328" s="416">
        <v>42824</v>
      </c>
      <c r="B328" s="403">
        <v>350305.92</v>
      </c>
    </row>
    <row r="329" spans="1:2" x14ac:dyDescent="0.2">
      <c r="A329" s="416">
        <v>42825</v>
      </c>
      <c r="B329" s="403">
        <v>350306</v>
      </c>
    </row>
    <row r="330" spans="1:2" x14ac:dyDescent="0.2">
      <c r="A330" s="416">
        <v>42828</v>
      </c>
      <c r="B330" s="403">
        <v>350306</v>
      </c>
    </row>
    <row r="331" spans="1:2" x14ac:dyDescent="0.2">
      <c r="A331" s="416">
        <v>42829</v>
      </c>
      <c r="B331" s="403">
        <v>320389.65000000002</v>
      </c>
    </row>
    <row r="332" spans="1:2" x14ac:dyDescent="0.2">
      <c r="A332" s="416">
        <v>42830</v>
      </c>
      <c r="B332" s="403">
        <v>320390</v>
      </c>
    </row>
    <row r="333" spans="1:2" x14ac:dyDescent="0.2">
      <c r="A333" s="416">
        <v>42831</v>
      </c>
      <c r="B333" s="403">
        <v>313344</v>
      </c>
    </row>
    <row r="334" spans="1:2" x14ac:dyDescent="0.2">
      <c r="A334" s="416">
        <v>42832</v>
      </c>
      <c r="B334" s="403">
        <v>313344</v>
      </c>
    </row>
    <row r="335" spans="1:2" x14ac:dyDescent="0.2">
      <c r="A335" s="416">
        <v>42835</v>
      </c>
      <c r="B335" s="403">
        <v>306132.78000000003</v>
      </c>
    </row>
    <row r="336" spans="1:2" x14ac:dyDescent="0.2">
      <c r="A336" s="416">
        <v>42836</v>
      </c>
      <c r="B336" s="403">
        <v>286047.34999999998</v>
      </c>
    </row>
    <row r="337" spans="1:2" x14ac:dyDescent="0.2">
      <c r="A337" s="416">
        <v>42837</v>
      </c>
      <c r="B337" s="403">
        <v>286047</v>
      </c>
    </row>
    <row r="338" spans="1:2" x14ac:dyDescent="0.2">
      <c r="A338" s="416">
        <v>42838</v>
      </c>
      <c r="B338" s="403">
        <v>272128.99</v>
      </c>
    </row>
    <row r="339" spans="1:2" x14ac:dyDescent="0.2">
      <c r="A339" s="416">
        <v>42839</v>
      </c>
      <c r="B339" s="403">
        <v>272229.71000000002</v>
      </c>
    </row>
    <row r="340" spans="1:2" x14ac:dyDescent="0.2">
      <c r="A340" s="416">
        <v>42842</v>
      </c>
      <c r="B340" s="403">
        <v>236683.56</v>
      </c>
    </row>
    <row r="341" spans="1:2" x14ac:dyDescent="0.2">
      <c r="A341" s="416">
        <v>42843</v>
      </c>
      <c r="B341" s="403">
        <v>244114.64</v>
      </c>
    </row>
    <row r="342" spans="1:2" x14ac:dyDescent="0.2">
      <c r="A342" s="416">
        <v>42844</v>
      </c>
      <c r="B342" s="403">
        <v>244115</v>
      </c>
    </row>
    <row r="343" spans="1:2" x14ac:dyDescent="0.2">
      <c r="A343" s="416">
        <v>42845</v>
      </c>
      <c r="B343" s="403">
        <v>241798.76</v>
      </c>
    </row>
    <row r="344" spans="1:2" x14ac:dyDescent="0.2">
      <c r="A344" s="416">
        <v>42846</v>
      </c>
      <c r="B344" s="403">
        <v>241799</v>
      </c>
    </row>
    <row r="345" spans="1:2" x14ac:dyDescent="0.2">
      <c r="A345" s="416">
        <v>42849</v>
      </c>
      <c r="B345" s="403">
        <v>241973.76000000001</v>
      </c>
    </row>
    <row r="346" spans="1:2" x14ac:dyDescent="0.2">
      <c r="A346" s="416">
        <v>42850</v>
      </c>
      <c r="B346" s="403">
        <v>243364.2</v>
      </c>
    </row>
    <row r="347" spans="1:2" x14ac:dyDescent="0.2">
      <c r="A347" s="416">
        <v>42851</v>
      </c>
      <c r="B347" s="403">
        <v>243364</v>
      </c>
    </row>
    <row r="348" spans="1:2" x14ac:dyDescent="0.2">
      <c r="A348" s="416">
        <v>42852</v>
      </c>
      <c r="B348" s="403">
        <v>259265.45</v>
      </c>
    </row>
    <row r="349" spans="1:2" x14ac:dyDescent="0.2">
      <c r="A349" s="416">
        <v>42853</v>
      </c>
      <c r="B349" s="403">
        <v>290731.18</v>
      </c>
    </row>
    <row r="350" spans="1:2" x14ac:dyDescent="0.2">
      <c r="A350" s="416">
        <v>42856</v>
      </c>
      <c r="B350" s="403">
        <v>251486.17</v>
      </c>
    </row>
    <row r="351" spans="1:2" x14ac:dyDescent="0.2">
      <c r="A351" s="416">
        <v>42857</v>
      </c>
      <c r="B351" s="403">
        <v>253188.17</v>
      </c>
    </row>
    <row r="352" spans="1:2" x14ac:dyDescent="0.2">
      <c r="A352" s="416">
        <v>42858</v>
      </c>
      <c r="B352" s="403">
        <v>253188</v>
      </c>
    </row>
    <row r="353" spans="1:2" x14ac:dyDescent="0.2">
      <c r="A353" s="416">
        <v>42859</v>
      </c>
      <c r="B353" s="403">
        <v>232739.33</v>
      </c>
    </row>
    <row r="354" spans="1:2" x14ac:dyDescent="0.2">
      <c r="A354" s="416">
        <v>42860</v>
      </c>
      <c r="B354" s="403">
        <v>234049.33</v>
      </c>
    </row>
    <row r="355" spans="1:2" x14ac:dyDescent="0.2">
      <c r="A355" s="416">
        <v>42863</v>
      </c>
      <c r="B355" s="403">
        <v>314317.77</v>
      </c>
    </row>
    <row r="356" spans="1:2" x14ac:dyDescent="0.2">
      <c r="A356" s="416">
        <v>42864</v>
      </c>
      <c r="B356" s="403">
        <v>314318</v>
      </c>
    </row>
    <row r="357" spans="1:2" x14ac:dyDescent="0.2">
      <c r="A357" s="416">
        <v>42865</v>
      </c>
      <c r="B357" s="403">
        <v>314318</v>
      </c>
    </row>
    <row r="358" spans="1:2" x14ac:dyDescent="0.2">
      <c r="A358" s="416">
        <v>42866</v>
      </c>
      <c r="B358" s="403">
        <v>313971.28000000003</v>
      </c>
    </row>
    <row r="359" spans="1:2" x14ac:dyDescent="0.2">
      <c r="A359" s="416">
        <v>42867</v>
      </c>
      <c r="B359" s="403">
        <v>313971</v>
      </c>
    </row>
    <row r="360" spans="1:2" x14ac:dyDescent="0.2">
      <c r="A360" s="416">
        <v>42870</v>
      </c>
      <c r="B360" s="403">
        <v>271063.69</v>
      </c>
    </row>
    <row r="361" spans="1:2" x14ac:dyDescent="0.2">
      <c r="A361" s="416">
        <v>42871</v>
      </c>
      <c r="B361" s="403">
        <v>271064</v>
      </c>
    </row>
    <row r="362" spans="1:2" x14ac:dyDescent="0.2">
      <c r="A362" s="416">
        <v>42872</v>
      </c>
      <c r="B362" s="403">
        <v>271064</v>
      </c>
    </row>
    <row r="363" spans="1:2" x14ac:dyDescent="0.2">
      <c r="A363" s="416">
        <v>42873</v>
      </c>
      <c r="B363" s="403">
        <v>261497.73</v>
      </c>
    </row>
    <row r="364" spans="1:2" x14ac:dyDescent="0.2">
      <c r="A364" s="416">
        <v>42874</v>
      </c>
      <c r="B364" s="403">
        <v>311507.92</v>
      </c>
    </row>
    <row r="365" spans="1:2" x14ac:dyDescent="0.2">
      <c r="A365" s="416">
        <v>42877</v>
      </c>
      <c r="B365" s="403">
        <v>290080.52</v>
      </c>
    </row>
    <row r="366" spans="1:2" x14ac:dyDescent="0.2">
      <c r="A366" s="416">
        <v>42878</v>
      </c>
      <c r="B366" s="403">
        <v>290081</v>
      </c>
    </row>
    <row r="367" spans="1:2" x14ac:dyDescent="0.2">
      <c r="A367" s="416">
        <v>42879</v>
      </c>
      <c r="B367" s="403">
        <v>327080.46000000002</v>
      </c>
    </row>
    <row r="368" spans="1:2" x14ac:dyDescent="0.2">
      <c r="A368" s="416">
        <v>42880</v>
      </c>
      <c r="B368" s="403">
        <v>327080</v>
      </c>
    </row>
    <row r="369" spans="1:2" x14ac:dyDescent="0.2">
      <c r="A369" s="416">
        <v>42881</v>
      </c>
      <c r="B369" s="403">
        <v>336844.12</v>
      </c>
    </row>
    <row r="370" spans="1:2" x14ac:dyDescent="0.2">
      <c r="A370" s="416">
        <v>42884</v>
      </c>
      <c r="B370" s="403">
        <v>336844</v>
      </c>
    </row>
    <row r="371" spans="1:2" x14ac:dyDescent="0.2">
      <c r="A371" s="416">
        <v>42885</v>
      </c>
      <c r="B371" s="403">
        <v>300553.48</v>
      </c>
    </row>
    <row r="372" spans="1:2" x14ac:dyDescent="0.2">
      <c r="A372" s="416">
        <v>42886</v>
      </c>
      <c r="B372" s="403">
        <v>296887.5</v>
      </c>
    </row>
    <row r="373" spans="1:2" x14ac:dyDescent="0.2">
      <c r="A373" s="416">
        <v>42887</v>
      </c>
      <c r="B373" s="403">
        <v>297355.68</v>
      </c>
    </row>
    <row r="374" spans="1:2" x14ac:dyDescent="0.2">
      <c r="A374" s="416">
        <v>42888</v>
      </c>
      <c r="B374" s="403">
        <v>298760.68</v>
      </c>
    </row>
    <row r="375" spans="1:2" x14ac:dyDescent="0.2">
      <c r="A375" s="416">
        <v>42891</v>
      </c>
      <c r="B375" s="403">
        <v>279006.82</v>
      </c>
    </row>
    <row r="376" spans="1:2" x14ac:dyDescent="0.2">
      <c r="A376" s="416">
        <v>42892</v>
      </c>
      <c r="B376" s="403">
        <v>279007</v>
      </c>
    </row>
    <row r="377" spans="1:2" x14ac:dyDescent="0.2">
      <c r="A377" s="416">
        <v>42893</v>
      </c>
      <c r="B377" s="403">
        <v>279007</v>
      </c>
    </row>
    <row r="378" spans="1:2" x14ac:dyDescent="0.2">
      <c r="A378" s="416">
        <v>42894</v>
      </c>
      <c r="B378" s="403">
        <v>279112.07</v>
      </c>
    </row>
    <row r="379" spans="1:2" x14ac:dyDescent="0.2">
      <c r="A379" s="416">
        <v>42895</v>
      </c>
      <c r="B379" s="403">
        <v>279112</v>
      </c>
    </row>
    <row r="380" spans="1:2" x14ac:dyDescent="0.2">
      <c r="A380" s="416">
        <v>42898</v>
      </c>
      <c r="B380" s="403">
        <v>244072.02</v>
      </c>
    </row>
    <row r="381" spans="1:2" x14ac:dyDescent="0.2">
      <c r="A381" s="416">
        <v>42899</v>
      </c>
      <c r="B381" s="403">
        <v>249325.41</v>
      </c>
    </row>
    <row r="382" spans="1:2" x14ac:dyDescent="0.2">
      <c r="A382" s="416">
        <v>42900</v>
      </c>
      <c r="B382" s="403">
        <v>249325</v>
      </c>
    </row>
    <row r="383" spans="1:2" x14ac:dyDescent="0.2">
      <c r="A383" s="416">
        <v>42901</v>
      </c>
      <c r="B383" s="403">
        <v>252874.48</v>
      </c>
    </row>
    <row r="384" spans="1:2" x14ac:dyDescent="0.2">
      <c r="A384" s="416">
        <v>42902</v>
      </c>
      <c r="B384" s="403">
        <v>253128.65</v>
      </c>
    </row>
    <row r="385" spans="1:2" x14ac:dyDescent="0.2">
      <c r="A385" s="416">
        <v>42905</v>
      </c>
      <c r="B385" s="403">
        <v>255098.96</v>
      </c>
    </row>
    <row r="386" spans="1:2" x14ac:dyDescent="0.2">
      <c r="A386" s="416">
        <v>42906</v>
      </c>
      <c r="B386" s="403">
        <v>253521.42</v>
      </c>
    </row>
    <row r="387" spans="1:2" x14ac:dyDescent="0.2">
      <c r="A387" s="416">
        <v>42907</v>
      </c>
      <c r="B387" s="403">
        <v>253521</v>
      </c>
    </row>
    <row r="388" spans="1:2" x14ac:dyDescent="0.2">
      <c r="A388" s="416">
        <v>42908</v>
      </c>
      <c r="B388" s="403">
        <v>235912.36</v>
      </c>
    </row>
    <row r="389" spans="1:2" x14ac:dyDescent="0.2">
      <c r="A389" s="416">
        <v>42909</v>
      </c>
      <c r="B389" s="403">
        <v>235912</v>
      </c>
    </row>
    <row r="390" spans="1:2" x14ac:dyDescent="0.2">
      <c r="A390" s="416">
        <v>42912</v>
      </c>
      <c r="B390" s="444">
        <v>198879.76</v>
      </c>
    </row>
    <row r="391" spans="1:2" x14ac:dyDescent="0.2">
      <c r="A391" s="416">
        <v>42913</v>
      </c>
      <c r="B391" s="403">
        <v>199009.76</v>
      </c>
    </row>
    <row r="392" spans="1:2" x14ac:dyDescent="0.2">
      <c r="A392" s="416">
        <v>42914</v>
      </c>
      <c r="B392" s="403">
        <v>199010</v>
      </c>
    </row>
    <row r="393" spans="1:2" x14ac:dyDescent="0.2">
      <c r="A393" s="416">
        <v>42915</v>
      </c>
      <c r="B393" s="403">
        <v>210354</v>
      </c>
    </row>
    <row r="394" spans="1:2" x14ac:dyDescent="0.2">
      <c r="A394" s="416">
        <v>42916</v>
      </c>
      <c r="B394" s="403">
        <v>260779.62</v>
      </c>
    </row>
    <row r="395" spans="1:2" x14ac:dyDescent="0.2">
      <c r="A395" s="416">
        <v>42919</v>
      </c>
      <c r="B395" s="403">
        <v>260780</v>
      </c>
    </row>
    <row r="396" spans="1:2" x14ac:dyDescent="0.2">
      <c r="A396" s="416">
        <v>42920</v>
      </c>
      <c r="B396" s="403">
        <v>260780</v>
      </c>
    </row>
    <row r="397" spans="1:2" x14ac:dyDescent="0.2">
      <c r="A397" s="416">
        <v>42921</v>
      </c>
      <c r="B397" s="403">
        <v>260780</v>
      </c>
    </row>
    <row r="398" spans="1:2" x14ac:dyDescent="0.2">
      <c r="A398" s="416">
        <v>42922</v>
      </c>
      <c r="B398" s="403">
        <v>261774.11</v>
      </c>
    </row>
    <row r="399" spans="1:2" x14ac:dyDescent="0.2">
      <c r="A399" s="416">
        <v>42923</v>
      </c>
      <c r="B399" s="403">
        <v>261774</v>
      </c>
    </row>
    <row r="400" spans="1:2" x14ac:dyDescent="0.2">
      <c r="A400" s="416">
        <v>42926</v>
      </c>
      <c r="B400" s="403">
        <v>226950.89</v>
      </c>
    </row>
    <row r="401" spans="1:2" x14ac:dyDescent="0.2">
      <c r="A401" s="416">
        <v>42927</v>
      </c>
      <c r="B401" s="403">
        <v>226951</v>
      </c>
    </row>
    <row r="402" spans="1:2" x14ac:dyDescent="0.2">
      <c r="A402" s="416">
        <v>42928</v>
      </c>
      <c r="B402" s="403">
        <v>248711.94</v>
      </c>
    </row>
    <row r="403" spans="1:2" x14ac:dyDescent="0.2">
      <c r="A403" s="416">
        <v>42929</v>
      </c>
      <c r="B403" s="403">
        <v>256201.58</v>
      </c>
    </row>
    <row r="404" spans="1:2" x14ac:dyDescent="0.2">
      <c r="A404" s="416">
        <v>42930</v>
      </c>
      <c r="B404" s="403">
        <v>256272.97</v>
      </c>
    </row>
    <row r="405" spans="1:2" x14ac:dyDescent="0.2">
      <c r="A405" s="416">
        <v>42933</v>
      </c>
      <c r="B405" s="403">
        <v>256056.42</v>
      </c>
    </row>
    <row r="406" spans="1:2" x14ac:dyDescent="0.2">
      <c r="A406" s="416">
        <v>42934</v>
      </c>
      <c r="B406" s="403">
        <v>257213.96</v>
      </c>
    </row>
    <row r="407" spans="1:2" x14ac:dyDescent="0.2">
      <c r="A407" s="416">
        <v>42935</v>
      </c>
      <c r="B407" s="403">
        <v>257214</v>
      </c>
    </row>
    <row r="408" spans="1:2" x14ac:dyDescent="0.2">
      <c r="A408" s="416">
        <v>42936</v>
      </c>
      <c r="B408" s="403">
        <v>260075.5</v>
      </c>
    </row>
    <row r="409" spans="1:2" x14ac:dyDescent="0.2">
      <c r="A409" s="416">
        <v>42937</v>
      </c>
      <c r="B409" s="403">
        <v>339825.5</v>
      </c>
    </row>
    <row r="410" spans="1:2" x14ac:dyDescent="0.2">
      <c r="A410" s="416">
        <v>42940</v>
      </c>
      <c r="B410" s="403">
        <v>303182.65000000002</v>
      </c>
    </row>
    <row r="411" spans="1:2" x14ac:dyDescent="0.2">
      <c r="A411" s="416">
        <v>42941</v>
      </c>
      <c r="B411" s="403">
        <v>322340.12</v>
      </c>
    </row>
    <row r="412" spans="1:2" x14ac:dyDescent="0.2">
      <c r="A412" s="416">
        <v>42942</v>
      </c>
      <c r="B412" s="403">
        <v>322340</v>
      </c>
    </row>
    <row r="413" spans="1:2" x14ac:dyDescent="0.2">
      <c r="A413" s="416">
        <v>42943</v>
      </c>
      <c r="B413" s="403">
        <v>308772.78999999998</v>
      </c>
    </row>
    <row r="414" spans="1:2" x14ac:dyDescent="0.2">
      <c r="A414" s="416">
        <v>42944</v>
      </c>
      <c r="B414" s="403">
        <v>317343.40999999997</v>
      </c>
    </row>
    <row r="415" spans="1:2" x14ac:dyDescent="0.2">
      <c r="A415" s="416">
        <v>42947</v>
      </c>
      <c r="B415" s="403">
        <v>317343</v>
      </c>
    </row>
    <row r="416" spans="1:2" x14ac:dyDescent="0.2">
      <c r="A416" s="416">
        <v>42948</v>
      </c>
      <c r="B416" s="403">
        <v>369152.35</v>
      </c>
    </row>
    <row r="417" spans="1:2" x14ac:dyDescent="0.2">
      <c r="A417" s="416">
        <v>42949</v>
      </c>
      <c r="B417" s="403">
        <v>371061.94</v>
      </c>
    </row>
    <row r="418" spans="1:2" x14ac:dyDescent="0.2">
      <c r="A418" s="416">
        <v>42950</v>
      </c>
      <c r="B418" s="403">
        <v>372080.87</v>
      </c>
    </row>
    <row r="419" spans="1:2" x14ac:dyDescent="0.2">
      <c r="A419" s="416">
        <v>42951</v>
      </c>
      <c r="B419" s="403">
        <v>372080.87</v>
      </c>
    </row>
    <row r="420" spans="1:2" x14ac:dyDescent="0.2">
      <c r="A420" s="416">
        <v>42954</v>
      </c>
      <c r="B420" s="403">
        <v>336189.47</v>
      </c>
    </row>
    <row r="421" spans="1:2" x14ac:dyDescent="0.2">
      <c r="A421" s="416">
        <v>42955</v>
      </c>
      <c r="B421" s="403">
        <v>340998.07</v>
      </c>
    </row>
    <row r="422" spans="1:2" x14ac:dyDescent="0.2">
      <c r="A422" s="416">
        <v>42956</v>
      </c>
      <c r="B422" s="403">
        <v>332763.65000000002</v>
      </c>
    </row>
    <row r="423" spans="1:2" x14ac:dyDescent="0.2">
      <c r="A423" s="416">
        <v>42957</v>
      </c>
      <c r="B423" s="403">
        <v>375651.45</v>
      </c>
    </row>
    <row r="424" spans="1:2" x14ac:dyDescent="0.2">
      <c r="A424" s="416">
        <v>42958</v>
      </c>
      <c r="B424" s="403">
        <v>378293.21</v>
      </c>
    </row>
    <row r="425" spans="1:2" x14ac:dyDescent="0.2">
      <c r="A425" s="416">
        <v>42961</v>
      </c>
      <c r="B425" s="403">
        <v>378293</v>
      </c>
    </row>
    <row r="426" spans="1:2" x14ac:dyDescent="0.2">
      <c r="A426" s="416">
        <v>42962</v>
      </c>
      <c r="B426" s="403">
        <v>401190.06</v>
      </c>
    </row>
    <row r="427" spans="1:2" x14ac:dyDescent="0.2">
      <c r="A427" s="416">
        <v>42963</v>
      </c>
      <c r="B427" s="403">
        <v>401190</v>
      </c>
    </row>
    <row r="428" spans="1:2" x14ac:dyDescent="0.2">
      <c r="A428" s="416">
        <v>42964</v>
      </c>
      <c r="B428" s="403">
        <v>401569.72</v>
      </c>
    </row>
    <row r="429" spans="1:2" x14ac:dyDescent="0.2">
      <c r="A429" s="416">
        <v>42965</v>
      </c>
      <c r="B429" s="403">
        <v>403837.72</v>
      </c>
    </row>
    <row r="430" spans="1:2" x14ac:dyDescent="0.2">
      <c r="A430" s="416">
        <v>42968</v>
      </c>
      <c r="B430" s="403">
        <v>369495.17</v>
      </c>
    </row>
    <row r="431" spans="1:2" x14ac:dyDescent="0.2">
      <c r="A431" s="416">
        <v>42969</v>
      </c>
      <c r="B431" s="403">
        <v>379169.06</v>
      </c>
    </row>
    <row r="432" spans="1:2" x14ac:dyDescent="0.2">
      <c r="A432" s="416">
        <v>42970</v>
      </c>
      <c r="B432" s="403">
        <v>379169</v>
      </c>
    </row>
    <row r="433" spans="1:2" x14ac:dyDescent="0.2">
      <c r="A433" s="416">
        <v>42971</v>
      </c>
      <c r="B433" s="403">
        <v>372540.41</v>
      </c>
    </row>
    <row r="434" spans="1:2" x14ac:dyDescent="0.2">
      <c r="A434" s="416">
        <v>42972</v>
      </c>
      <c r="B434" s="403">
        <v>372540</v>
      </c>
    </row>
    <row r="435" spans="1:2" x14ac:dyDescent="0.2">
      <c r="A435" s="416">
        <v>42975</v>
      </c>
      <c r="B435" s="403">
        <v>372540</v>
      </c>
    </row>
    <row r="436" spans="1:2" x14ac:dyDescent="0.2">
      <c r="A436" s="416">
        <v>42976</v>
      </c>
      <c r="B436" s="403">
        <v>374625.25</v>
      </c>
    </row>
    <row r="437" spans="1:2" x14ac:dyDescent="0.2">
      <c r="A437" s="416">
        <v>42977</v>
      </c>
      <c r="B437" s="403">
        <v>382658.46</v>
      </c>
    </row>
    <row r="438" spans="1:2" x14ac:dyDescent="0.2">
      <c r="A438" s="416">
        <v>42978</v>
      </c>
      <c r="B438" s="403">
        <v>389160.26</v>
      </c>
    </row>
    <row r="439" spans="1:2" x14ac:dyDescent="0.2">
      <c r="A439" s="416">
        <v>42979</v>
      </c>
      <c r="B439" s="403">
        <v>389160</v>
      </c>
    </row>
    <row r="440" spans="1:2" x14ac:dyDescent="0.2">
      <c r="A440" s="416">
        <v>42982</v>
      </c>
      <c r="B440" s="403">
        <v>389160</v>
      </c>
    </row>
    <row r="441" spans="1:2" x14ac:dyDescent="0.2">
      <c r="A441" s="416">
        <v>42983</v>
      </c>
      <c r="B441" s="403">
        <v>352908.42</v>
      </c>
    </row>
    <row r="442" spans="1:2" x14ac:dyDescent="0.2">
      <c r="A442" s="416">
        <v>42984</v>
      </c>
      <c r="B442" s="403">
        <v>383959.41</v>
      </c>
    </row>
    <row r="443" spans="1:2" x14ac:dyDescent="0.2">
      <c r="A443" s="416">
        <v>42985</v>
      </c>
      <c r="B443" s="403">
        <v>403148.81</v>
      </c>
    </row>
    <row r="444" spans="1:2" x14ac:dyDescent="0.2">
      <c r="A444" s="416">
        <v>42986</v>
      </c>
      <c r="B444" s="403">
        <v>403344.11</v>
      </c>
    </row>
    <row r="445" spans="1:2" x14ac:dyDescent="0.2">
      <c r="A445" s="416">
        <v>42989</v>
      </c>
      <c r="B445" s="403">
        <v>403344</v>
      </c>
    </row>
    <row r="446" spans="1:2" x14ac:dyDescent="0.2">
      <c r="A446" s="416">
        <v>42990</v>
      </c>
      <c r="B446" s="403">
        <v>403344</v>
      </c>
    </row>
    <row r="447" spans="1:2" x14ac:dyDescent="0.2">
      <c r="A447" s="416">
        <v>42991</v>
      </c>
      <c r="B447" s="403">
        <v>403344</v>
      </c>
    </row>
    <row r="448" spans="1:2" x14ac:dyDescent="0.2">
      <c r="A448" s="416">
        <v>42992</v>
      </c>
      <c r="B448" s="403">
        <v>400016.8</v>
      </c>
    </row>
    <row r="449" spans="1:2" x14ac:dyDescent="0.2">
      <c r="A449" s="416">
        <v>42993</v>
      </c>
      <c r="B449" s="403">
        <v>400134.96</v>
      </c>
    </row>
    <row r="450" spans="1:2" x14ac:dyDescent="0.2">
      <c r="A450" s="416">
        <v>42996</v>
      </c>
      <c r="B450" s="403">
        <v>364805.11</v>
      </c>
    </row>
    <row r="451" spans="1:2" x14ac:dyDescent="0.2">
      <c r="A451" s="416">
        <v>42997</v>
      </c>
      <c r="B451" s="403">
        <v>364805</v>
      </c>
    </row>
    <row r="452" spans="1:2" x14ac:dyDescent="0.2">
      <c r="A452" s="416">
        <v>42998</v>
      </c>
      <c r="B452" s="403">
        <v>371804.33</v>
      </c>
    </row>
    <row r="453" spans="1:2" x14ac:dyDescent="0.2">
      <c r="A453" s="416">
        <v>42999</v>
      </c>
      <c r="B453" s="403">
        <v>370759.85</v>
      </c>
    </row>
    <row r="454" spans="1:2" x14ac:dyDescent="0.2">
      <c r="A454" s="416">
        <v>43000</v>
      </c>
      <c r="B454" s="403">
        <v>389878.66</v>
      </c>
    </row>
    <row r="455" spans="1:2" x14ac:dyDescent="0.2">
      <c r="A455" s="416">
        <v>43003</v>
      </c>
      <c r="B455" s="403">
        <v>393013.02</v>
      </c>
    </row>
    <row r="456" spans="1:2" x14ac:dyDescent="0.2">
      <c r="A456" s="416">
        <v>43004</v>
      </c>
      <c r="B456" s="403">
        <v>393593.22</v>
      </c>
    </row>
    <row r="457" spans="1:2" x14ac:dyDescent="0.2">
      <c r="A457" s="416">
        <v>43005</v>
      </c>
      <c r="B457" s="403">
        <v>393593</v>
      </c>
    </row>
    <row r="458" spans="1:2" x14ac:dyDescent="0.2">
      <c r="A458" s="416">
        <v>43006</v>
      </c>
      <c r="B458" s="403">
        <v>385433.95</v>
      </c>
    </row>
    <row r="459" spans="1:2" x14ac:dyDescent="0.2">
      <c r="A459" s="416">
        <v>43007</v>
      </c>
      <c r="B459" s="403">
        <v>385678.15</v>
      </c>
    </row>
    <row r="460" spans="1:2" x14ac:dyDescent="0.2">
      <c r="A460" s="416">
        <v>43010</v>
      </c>
      <c r="B460" s="403">
        <v>350949.28</v>
      </c>
    </row>
    <row r="461" spans="1:2" x14ac:dyDescent="0.2">
      <c r="A461" s="416">
        <v>43011</v>
      </c>
      <c r="B461" s="403">
        <v>352010.98</v>
      </c>
    </row>
    <row r="462" spans="1:2" x14ac:dyDescent="0.2">
      <c r="A462" s="416">
        <v>43012</v>
      </c>
      <c r="B462" s="403">
        <v>352011</v>
      </c>
    </row>
    <row r="463" spans="1:2" x14ac:dyDescent="0.2">
      <c r="A463" s="416">
        <v>43013</v>
      </c>
      <c r="B463" s="403">
        <v>348679</v>
      </c>
    </row>
    <row r="464" spans="1:2" x14ac:dyDescent="0.2">
      <c r="A464" s="416">
        <v>43014</v>
      </c>
      <c r="B464" s="403">
        <v>348679</v>
      </c>
    </row>
    <row r="465" spans="1:2" x14ac:dyDescent="0.2">
      <c r="A465" s="416">
        <v>43017</v>
      </c>
      <c r="B465" s="403">
        <v>348679</v>
      </c>
    </row>
    <row r="466" spans="1:2" x14ac:dyDescent="0.2">
      <c r="A466" s="416">
        <v>43018</v>
      </c>
      <c r="B466" s="403">
        <v>348679</v>
      </c>
    </row>
    <row r="467" spans="1:2" x14ac:dyDescent="0.2">
      <c r="A467" s="416">
        <v>43019</v>
      </c>
      <c r="B467" s="403">
        <v>348761.24</v>
      </c>
    </row>
    <row r="468" spans="1:2" x14ac:dyDescent="0.2">
      <c r="A468" s="416">
        <v>43020</v>
      </c>
      <c r="B468" s="403">
        <v>349998.26</v>
      </c>
    </row>
    <row r="469" spans="1:2" x14ac:dyDescent="0.2">
      <c r="A469" s="416">
        <v>43021</v>
      </c>
      <c r="B469" s="403">
        <v>370561.14</v>
      </c>
    </row>
    <row r="470" spans="1:2" x14ac:dyDescent="0.2">
      <c r="A470" s="416">
        <v>43024</v>
      </c>
      <c r="B470" s="403">
        <v>336220.14</v>
      </c>
    </row>
    <row r="471" spans="1:2" x14ac:dyDescent="0.2">
      <c r="A471" s="416">
        <v>43025</v>
      </c>
      <c r="B471" s="403">
        <v>336332.14</v>
      </c>
    </row>
    <row r="472" spans="1:2" x14ac:dyDescent="0.2">
      <c r="A472" s="416">
        <v>43026</v>
      </c>
      <c r="B472" s="403">
        <v>336332</v>
      </c>
    </row>
    <row r="473" spans="1:2" x14ac:dyDescent="0.2">
      <c r="A473" s="416">
        <v>43027</v>
      </c>
      <c r="B473" s="403">
        <v>339185.02</v>
      </c>
    </row>
    <row r="474" spans="1:2" x14ac:dyDescent="0.2">
      <c r="A474" s="416">
        <v>43028</v>
      </c>
      <c r="B474" s="403">
        <v>344936.35</v>
      </c>
    </row>
    <row r="475" spans="1:2" x14ac:dyDescent="0.2">
      <c r="A475" s="416">
        <v>43031</v>
      </c>
      <c r="B475" s="403">
        <v>344564.68</v>
      </c>
    </row>
    <row r="476" spans="1:2" x14ac:dyDescent="0.2">
      <c r="A476" s="416">
        <v>43032</v>
      </c>
      <c r="B476" s="403">
        <v>344565</v>
      </c>
    </row>
    <row r="477" spans="1:2" x14ac:dyDescent="0.2">
      <c r="A477" s="416">
        <v>43033</v>
      </c>
      <c r="B477" s="403">
        <v>344829.18</v>
      </c>
    </row>
    <row r="478" spans="1:2" x14ac:dyDescent="0.2">
      <c r="A478" s="416">
        <v>43034</v>
      </c>
      <c r="B478" s="403">
        <v>339942.05</v>
      </c>
    </row>
    <row r="479" spans="1:2" x14ac:dyDescent="0.2">
      <c r="A479" s="416">
        <v>43035</v>
      </c>
      <c r="B479" s="403">
        <v>360185.72</v>
      </c>
    </row>
    <row r="480" spans="1:2" x14ac:dyDescent="0.2">
      <c r="A480" s="416">
        <v>43038</v>
      </c>
      <c r="B480" s="403">
        <v>323067.73</v>
      </c>
    </row>
    <row r="481" spans="1:2" x14ac:dyDescent="0.2">
      <c r="A481" s="416">
        <v>43039</v>
      </c>
      <c r="B481" s="403">
        <v>323197.73</v>
      </c>
    </row>
    <row r="482" spans="1:2" x14ac:dyDescent="0.2">
      <c r="A482" s="416">
        <v>43040</v>
      </c>
      <c r="B482" s="403">
        <v>323198</v>
      </c>
    </row>
    <row r="483" spans="1:2" x14ac:dyDescent="0.2">
      <c r="A483" s="416">
        <v>43041</v>
      </c>
      <c r="B483" s="403">
        <v>341044.7</v>
      </c>
    </row>
    <row r="484" spans="1:2" x14ac:dyDescent="0.2">
      <c r="A484" s="416">
        <v>43042</v>
      </c>
      <c r="B484" s="403">
        <v>341676.17</v>
      </c>
    </row>
    <row r="485" spans="1:2" x14ac:dyDescent="0.2">
      <c r="A485" s="416">
        <v>43045</v>
      </c>
      <c r="B485" s="403">
        <v>341676</v>
      </c>
    </row>
    <row r="486" spans="1:2" x14ac:dyDescent="0.2">
      <c r="A486" s="416">
        <v>43046</v>
      </c>
      <c r="B486" s="403">
        <v>341676</v>
      </c>
    </row>
    <row r="487" spans="1:2" x14ac:dyDescent="0.2">
      <c r="A487" s="416">
        <v>43047</v>
      </c>
      <c r="B487" s="403">
        <v>379863.97</v>
      </c>
    </row>
    <row r="488" spans="1:2" x14ac:dyDescent="0.2">
      <c r="A488" s="416">
        <v>43048</v>
      </c>
      <c r="B488" s="403">
        <v>378842.06</v>
      </c>
    </row>
    <row r="489" spans="1:2" x14ac:dyDescent="0.2">
      <c r="A489" s="416">
        <v>43049</v>
      </c>
      <c r="B489" s="403">
        <v>378842</v>
      </c>
    </row>
    <row r="490" spans="1:2" x14ac:dyDescent="0.2">
      <c r="A490" s="416">
        <v>43052</v>
      </c>
      <c r="B490" s="403">
        <v>340784.14</v>
      </c>
    </row>
    <row r="491" spans="1:2" x14ac:dyDescent="0.2">
      <c r="A491" s="416">
        <v>43053</v>
      </c>
      <c r="B491" s="403">
        <v>340784</v>
      </c>
    </row>
    <row r="492" spans="1:2" x14ac:dyDescent="0.2">
      <c r="A492" s="416">
        <v>43054</v>
      </c>
      <c r="B492" s="403">
        <v>340895.76</v>
      </c>
    </row>
    <row r="493" spans="1:2" x14ac:dyDescent="0.2">
      <c r="A493" s="416">
        <v>43055</v>
      </c>
      <c r="B493" s="403">
        <v>354246.44</v>
      </c>
    </row>
    <row r="494" spans="1:2" x14ac:dyDescent="0.2">
      <c r="A494" s="416">
        <v>43056</v>
      </c>
      <c r="B494" s="403">
        <v>354246.44</v>
      </c>
    </row>
    <row r="495" spans="1:2" x14ac:dyDescent="0.2">
      <c r="A495" s="416">
        <v>43059</v>
      </c>
      <c r="B495" s="403">
        <v>354264.44</v>
      </c>
    </row>
    <row r="496" spans="1:2" x14ac:dyDescent="0.2">
      <c r="A496" s="416">
        <v>43060</v>
      </c>
      <c r="B496" s="403">
        <v>354264</v>
      </c>
    </row>
    <row r="497" spans="1:2" x14ac:dyDescent="0.2">
      <c r="A497" s="416">
        <v>43061</v>
      </c>
      <c r="B497" s="403">
        <v>357804.55</v>
      </c>
    </row>
    <row r="498" spans="1:2" x14ac:dyDescent="0.2">
      <c r="A498" s="416">
        <v>43062</v>
      </c>
      <c r="B498" s="403">
        <v>357805</v>
      </c>
    </row>
    <row r="499" spans="1:2" x14ac:dyDescent="0.2">
      <c r="A499" s="416">
        <v>43063</v>
      </c>
      <c r="B499" s="403">
        <v>361119.05</v>
      </c>
    </row>
    <row r="500" spans="1:2" x14ac:dyDescent="0.2">
      <c r="A500" s="416">
        <v>43066</v>
      </c>
      <c r="B500" s="403">
        <v>318415.71000000002</v>
      </c>
    </row>
    <row r="501" spans="1:2" x14ac:dyDescent="0.2">
      <c r="A501" s="416">
        <v>43067</v>
      </c>
      <c r="B501" s="403">
        <v>320237.53999999998</v>
      </c>
    </row>
    <row r="502" spans="1:2" x14ac:dyDescent="0.2">
      <c r="A502" s="416">
        <v>43068</v>
      </c>
      <c r="B502" s="403">
        <v>320237.53999999998</v>
      </c>
    </row>
    <row r="503" spans="1:2" x14ac:dyDescent="0.2">
      <c r="A503" s="416">
        <v>43069</v>
      </c>
      <c r="B503" s="403">
        <v>325286.46999999997</v>
      </c>
    </row>
    <row r="504" spans="1:2" x14ac:dyDescent="0.2">
      <c r="A504" s="416">
        <v>43070</v>
      </c>
      <c r="B504" s="403">
        <v>334247.03000000003</v>
      </c>
    </row>
    <row r="505" spans="1:2" x14ac:dyDescent="0.2">
      <c r="A505" s="416">
        <v>43073</v>
      </c>
      <c r="B505" s="403">
        <v>334247</v>
      </c>
    </row>
    <row r="506" spans="1:2" x14ac:dyDescent="0.2">
      <c r="A506" s="416">
        <v>43074</v>
      </c>
      <c r="B506" s="403">
        <v>334247.03000000003</v>
      </c>
    </row>
    <row r="507" spans="1:2" x14ac:dyDescent="0.2">
      <c r="A507" s="416">
        <v>43075</v>
      </c>
      <c r="B507" s="403">
        <v>334247</v>
      </c>
    </row>
    <row r="508" spans="1:2" x14ac:dyDescent="0.2">
      <c r="A508" s="416">
        <v>43076</v>
      </c>
      <c r="B508" s="403">
        <v>323171.46000000002</v>
      </c>
    </row>
    <row r="509" spans="1:2" x14ac:dyDescent="0.2">
      <c r="A509" s="416">
        <v>43077</v>
      </c>
      <c r="B509" s="403">
        <v>324229.90999999997</v>
      </c>
    </row>
    <row r="510" spans="1:2" x14ac:dyDescent="0.2">
      <c r="A510" s="416">
        <v>43080</v>
      </c>
      <c r="B510" s="403">
        <v>324230</v>
      </c>
    </row>
    <row r="511" spans="1:2" x14ac:dyDescent="0.2">
      <c r="A511" s="416">
        <v>43081</v>
      </c>
      <c r="B511" s="403">
        <v>286030.39</v>
      </c>
    </row>
    <row r="512" spans="1:2" x14ac:dyDescent="0.2">
      <c r="A512" s="416">
        <v>43082</v>
      </c>
      <c r="B512" s="403">
        <v>286197.44</v>
      </c>
    </row>
    <row r="513" spans="1:14" x14ac:dyDescent="0.2">
      <c r="A513" s="416">
        <v>43083</v>
      </c>
      <c r="B513" s="403">
        <v>280065.2</v>
      </c>
    </row>
    <row r="514" spans="1:14" x14ac:dyDescent="0.2">
      <c r="A514" s="416">
        <v>43084</v>
      </c>
      <c r="B514" s="403">
        <v>284409.09999999998</v>
      </c>
    </row>
    <row r="515" spans="1:14" x14ac:dyDescent="0.2">
      <c r="A515" s="416">
        <v>43087</v>
      </c>
      <c r="B515" s="403">
        <v>285119.09999999998</v>
      </c>
    </row>
    <row r="516" spans="1:14" x14ac:dyDescent="0.2">
      <c r="A516" s="416">
        <v>43088</v>
      </c>
      <c r="B516" s="403">
        <v>285395.49</v>
      </c>
    </row>
    <row r="517" spans="1:14" x14ac:dyDescent="0.2">
      <c r="A517" s="416">
        <v>43089</v>
      </c>
      <c r="B517" s="403">
        <v>285395</v>
      </c>
    </row>
    <row r="518" spans="1:14" x14ac:dyDescent="0.2">
      <c r="A518" s="416">
        <v>43090</v>
      </c>
      <c r="B518" s="403">
        <v>285542.49</v>
      </c>
    </row>
    <row r="519" spans="1:14" x14ac:dyDescent="0.2">
      <c r="A519" s="416">
        <v>43091</v>
      </c>
      <c r="B519" s="403">
        <v>285542</v>
      </c>
    </row>
    <row r="520" spans="1:14" x14ac:dyDescent="0.2">
      <c r="A520" s="416">
        <v>43094</v>
      </c>
      <c r="B520" s="403">
        <v>285542</v>
      </c>
    </row>
    <row r="521" spans="1:14" x14ac:dyDescent="0.2">
      <c r="A521" s="416">
        <v>43095</v>
      </c>
      <c r="B521" s="403">
        <v>248584.72</v>
      </c>
    </row>
    <row r="522" spans="1:14" x14ac:dyDescent="0.2">
      <c r="A522" s="416">
        <v>43096</v>
      </c>
      <c r="B522" s="403">
        <v>248585</v>
      </c>
    </row>
    <row r="523" spans="1:14" x14ac:dyDescent="0.2">
      <c r="A523" s="416">
        <v>43097</v>
      </c>
      <c r="B523" s="403">
        <v>270685.83</v>
      </c>
    </row>
    <row r="524" spans="1:14" x14ac:dyDescent="0.2">
      <c r="A524" s="416">
        <v>43098</v>
      </c>
      <c r="B524" s="403">
        <v>282558.58</v>
      </c>
    </row>
    <row r="525" spans="1:14" x14ac:dyDescent="0.2">
      <c r="A525" s="416">
        <v>43101</v>
      </c>
      <c r="B525" s="403">
        <v>282559</v>
      </c>
      <c r="F525" s="390"/>
      <c r="G525" t="s">
        <v>184</v>
      </c>
      <c r="H525" t="s">
        <v>211</v>
      </c>
      <c r="J525" t="s">
        <v>359</v>
      </c>
      <c r="K525" t="s">
        <v>211</v>
      </c>
      <c r="N525">
        <v>0.06</v>
      </c>
    </row>
    <row r="526" spans="1:14" x14ac:dyDescent="0.2">
      <c r="A526" s="416">
        <v>43102</v>
      </c>
      <c r="B526" s="403">
        <v>282508.58</v>
      </c>
      <c r="F526" s="390">
        <v>42370</v>
      </c>
      <c r="G526" s="160">
        <v>369484</v>
      </c>
      <c r="H526" s="206">
        <v>31036</v>
      </c>
      <c r="J526" s="390">
        <v>42461</v>
      </c>
      <c r="K526" s="206">
        <v>151036</v>
      </c>
      <c r="N526" s="558">
        <f>K526*N525/12 +K526</f>
        <v>151791.18</v>
      </c>
    </row>
    <row r="527" spans="1:14" x14ac:dyDescent="0.2">
      <c r="A527" s="416">
        <v>43103</v>
      </c>
      <c r="B527" s="403">
        <v>282509</v>
      </c>
      <c r="F527" s="390">
        <v>42401</v>
      </c>
      <c r="G527" s="160">
        <v>295493.53000000003</v>
      </c>
      <c r="H527" s="206">
        <v>31035.72</v>
      </c>
      <c r="J527" s="390">
        <v>42491</v>
      </c>
      <c r="K527" s="206">
        <v>151087.09</v>
      </c>
      <c r="N527" s="558">
        <f>N$525*N526/12 +N526</f>
        <v>152550.13589999999</v>
      </c>
    </row>
    <row r="528" spans="1:14" x14ac:dyDescent="0.2">
      <c r="A528" s="416">
        <v>43104</v>
      </c>
      <c r="B528" s="403">
        <v>283213.14</v>
      </c>
      <c r="F528" s="390">
        <v>42430</v>
      </c>
      <c r="G528" s="160">
        <v>255865.07</v>
      </c>
      <c r="H528" s="206">
        <v>151035.72</v>
      </c>
      <c r="J528" s="390">
        <v>42551</v>
      </c>
      <c r="K528" s="206">
        <v>151336.84</v>
      </c>
      <c r="N528" s="558">
        <f t="shared" ref="N528:N591" si="3">N$525*N527/12 +N527</f>
        <v>153312.88657949999</v>
      </c>
    </row>
    <row r="529" spans="1:14" x14ac:dyDescent="0.2">
      <c r="A529" s="416">
        <v>43105</v>
      </c>
      <c r="B529" s="403">
        <v>297779.06</v>
      </c>
      <c r="F529" s="390">
        <v>42461</v>
      </c>
      <c r="G529" s="160">
        <v>294098.96000000002</v>
      </c>
      <c r="H529" s="206">
        <v>151036</v>
      </c>
      <c r="J529" s="390">
        <v>42582</v>
      </c>
      <c r="K529" s="206">
        <v>151611.29999999999</v>
      </c>
      <c r="N529" s="558">
        <f t="shared" si="3"/>
        <v>154079.45101239748</v>
      </c>
    </row>
    <row r="530" spans="1:14" x14ac:dyDescent="0.2">
      <c r="A530" s="416">
        <v>43108</v>
      </c>
      <c r="B530" s="403">
        <v>263886.2</v>
      </c>
      <c r="F530" s="390">
        <v>42491</v>
      </c>
      <c r="G530" s="160">
        <v>333922.02</v>
      </c>
      <c r="H530" s="206">
        <v>151087.09</v>
      </c>
      <c r="J530" s="390">
        <v>42583</v>
      </c>
      <c r="K530" s="206">
        <v>151776.70000000001</v>
      </c>
      <c r="N530" s="558">
        <f t="shared" si="3"/>
        <v>154849.84826745946</v>
      </c>
    </row>
    <row r="531" spans="1:14" x14ac:dyDescent="0.2">
      <c r="A531" s="416">
        <v>43109</v>
      </c>
      <c r="B531" s="403">
        <v>277030.96999999997</v>
      </c>
      <c r="F531" s="390">
        <v>42551</v>
      </c>
      <c r="G531" s="160">
        <v>384005.8</v>
      </c>
      <c r="H531" s="206">
        <v>151336.84</v>
      </c>
      <c r="J531" s="390">
        <v>42614</v>
      </c>
      <c r="K531" s="206">
        <v>151844.44</v>
      </c>
      <c r="N531" s="558">
        <f t="shared" si="3"/>
        <v>155624.09750879675</v>
      </c>
    </row>
    <row r="532" spans="1:14" x14ac:dyDescent="0.2">
      <c r="A532" s="416">
        <v>43110</v>
      </c>
      <c r="B532" s="403">
        <v>277031</v>
      </c>
      <c r="F532" s="390">
        <v>42582</v>
      </c>
      <c r="G532" s="160">
        <v>292004.15999999997</v>
      </c>
      <c r="H532" s="206">
        <v>151611.29999999999</v>
      </c>
      <c r="J532" s="390">
        <v>42644</v>
      </c>
      <c r="K532" s="206">
        <v>152036.04</v>
      </c>
      <c r="N532" s="558">
        <f t="shared" si="3"/>
        <v>156402.21799634074</v>
      </c>
    </row>
    <row r="533" spans="1:14" x14ac:dyDescent="0.2">
      <c r="A533" s="416">
        <v>43111</v>
      </c>
      <c r="B533" s="403">
        <v>281394.14</v>
      </c>
      <c r="F533" s="390">
        <v>42583</v>
      </c>
      <c r="G533" s="160">
        <v>182562.29</v>
      </c>
      <c r="H533" s="206">
        <v>151776.70000000001</v>
      </c>
      <c r="J533" s="390">
        <v>42675</v>
      </c>
      <c r="K533" s="206">
        <v>152464.91</v>
      </c>
      <c r="N533" s="558">
        <f t="shared" si="3"/>
        <v>157184.22908632245</v>
      </c>
    </row>
    <row r="534" spans="1:14" x14ac:dyDescent="0.2">
      <c r="A534" s="416">
        <v>43112</v>
      </c>
      <c r="B534" s="403">
        <v>281470.18</v>
      </c>
      <c r="F534" s="390">
        <v>42614</v>
      </c>
      <c r="G534" s="160">
        <v>242442.87</v>
      </c>
      <c r="H534" s="206">
        <v>151844.44</v>
      </c>
      <c r="J534" s="390">
        <v>42705</v>
      </c>
      <c r="K534" s="206">
        <v>154533.13</v>
      </c>
      <c r="N534" s="558">
        <f t="shared" si="3"/>
        <v>157970.15023175406</v>
      </c>
    </row>
    <row r="535" spans="1:14" x14ac:dyDescent="0.2">
      <c r="A535" s="416">
        <v>43115</v>
      </c>
      <c r="B535" s="403">
        <v>281470</v>
      </c>
      <c r="F535" s="390">
        <v>42644</v>
      </c>
      <c r="G535" s="160">
        <v>247104.37</v>
      </c>
      <c r="H535" s="206">
        <v>152036.04</v>
      </c>
      <c r="J535" s="390">
        <v>42736</v>
      </c>
      <c r="K535" s="206">
        <v>155633.59</v>
      </c>
      <c r="N535" s="558">
        <f t="shared" si="3"/>
        <v>158760.00098291284</v>
      </c>
    </row>
    <row r="536" spans="1:14" x14ac:dyDescent="0.2">
      <c r="A536" s="416">
        <v>43116</v>
      </c>
      <c r="B536" s="403">
        <v>284325.94</v>
      </c>
      <c r="F536" s="390">
        <v>42675</v>
      </c>
      <c r="G536" s="160">
        <v>246462.95</v>
      </c>
      <c r="H536" s="206">
        <v>152464.91</v>
      </c>
      <c r="J536" s="390">
        <v>42767</v>
      </c>
      <c r="K536" s="206">
        <v>158448.25</v>
      </c>
      <c r="N536" s="558">
        <f t="shared" si="3"/>
        <v>159553.80098782742</v>
      </c>
    </row>
    <row r="537" spans="1:14" x14ac:dyDescent="0.2">
      <c r="A537" s="416">
        <v>43117</v>
      </c>
      <c r="B537" s="403">
        <v>305911.78000000003</v>
      </c>
      <c r="F537" s="390">
        <v>42705</v>
      </c>
      <c r="G537" s="160">
        <v>249839.51</v>
      </c>
      <c r="H537" s="206">
        <v>154533.13</v>
      </c>
      <c r="J537" s="390">
        <v>42795</v>
      </c>
      <c r="K537" s="206">
        <v>159113.29</v>
      </c>
      <c r="N537" s="558">
        <f t="shared" si="3"/>
        <v>160351.56999276654</v>
      </c>
    </row>
    <row r="538" spans="1:14" x14ac:dyDescent="0.2">
      <c r="A538" s="416">
        <v>43118</v>
      </c>
      <c r="B538" s="403">
        <v>305752.93</v>
      </c>
      <c r="F538" s="390">
        <v>42736</v>
      </c>
      <c r="G538" s="160">
        <v>351420</v>
      </c>
      <c r="H538" s="206">
        <v>155633.59</v>
      </c>
      <c r="J538" s="390">
        <v>42826</v>
      </c>
      <c r="K538" s="206">
        <v>159614.53</v>
      </c>
      <c r="N538" s="558">
        <f t="shared" si="3"/>
        <v>161153.32784273036</v>
      </c>
    </row>
    <row r="539" spans="1:14" x14ac:dyDescent="0.2">
      <c r="A539" s="416">
        <v>43119</v>
      </c>
      <c r="B539" s="403">
        <v>332730.14</v>
      </c>
      <c r="F539" s="390">
        <v>42767</v>
      </c>
      <c r="G539" s="160">
        <v>253330</v>
      </c>
      <c r="H539" s="206">
        <v>158448.25</v>
      </c>
      <c r="J539" s="390">
        <v>42856</v>
      </c>
      <c r="K539" s="206">
        <v>160436.21</v>
      </c>
      <c r="N539" s="558">
        <f t="shared" si="3"/>
        <v>161959.09448194402</v>
      </c>
    </row>
    <row r="540" spans="1:14" x14ac:dyDescent="0.2">
      <c r="A540" s="416">
        <v>43122</v>
      </c>
      <c r="B540" s="403">
        <v>291419.49</v>
      </c>
      <c r="F540" s="390">
        <v>42795</v>
      </c>
      <c r="G540" s="160">
        <v>280744</v>
      </c>
      <c r="H540" s="206">
        <v>159113.29</v>
      </c>
      <c r="J540" s="390">
        <v>42887</v>
      </c>
      <c r="K540" s="206">
        <v>160443.22</v>
      </c>
      <c r="N540" s="558">
        <f t="shared" si="3"/>
        <v>162768.88995435374</v>
      </c>
    </row>
    <row r="541" spans="1:14" x14ac:dyDescent="0.2">
      <c r="A541" s="416">
        <v>43123</v>
      </c>
      <c r="B541" s="403">
        <v>293419.65000000002</v>
      </c>
      <c r="F541" s="390">
        <v>42826</v>
      </c>
      <c r="G541" s="160">
        <v>319478.15999999997</v>
      </c>
      <c r="H541" s="206">
        <v>159614.53</v>
      </c>
      <c r="J541" s="390">
        <v>42917</v>
      </c>
      <c r="K541" s="206">
        <v>161526.35999999999</v>
      </c>
      <c r="N541" s="558">
        <f t="shared" si="3"/>
        <v>163582.73440412551</v>
      </c>
    </row>
    <row r="542" spans="1:14" x14ac:dyDescent="0.2">
      <c r="A542" s="416">
        <v>43124</v>
      </c>
      <c r="B542" s="403">
        <v>293420</v>
      </c>
      <c r="F542" s="390">
        <v>42856</v>
      </c>
      <c r="G542" s="160">
        <v>241828.1</v>
      </c>
      <c r="H542" s="206">
        <v>160436.21</v>
      </c>
      <c r="J542" s="390">
        <v>42948</v>
      </c>
      <c r="K542" s="206">
        <v>162013.01</v>
      </c>
      <c r="N542" s="558">
        <f t="shared" si="3"/>
        <v>164400.64807614614</v>
      </c>
    </row>
    <row r="543" spans="1:14" x14ac:dyDescent="0.2">
      <c r="A543" s="416">
        <v>43125</v>
      </c>
      <c r="B543" s="403">
        <v>301331.82</v>
      </c>
      <c r="F543" s="390">
        <v>42887</v>
      </c>
      <c r="G543" s="160">
        <v>248981.18</v>
      </c>
      <c r="H543" s="206">
        <v>160443.22</v>
      </c>
      <c r="J543" s="390">
        <v>42979</v>
      </c>
      <c r="K543" s="206">
        <v>163493.49</v>
      </c>
      <c r="M543" s="206"/>
      <c r="N543" s="558">
        <f t="shared" si="3"/>
        <v>165222.65131652687</v>
      </c>
    </row>
    <row r="544" spans="1:14" x14ac:dyDescent="0.2">
      <c r="A544" s="416">
        <v>43126</v>
      </c>
      <c r="B544" s="403">
        <v>327084.28999999998</v>
      </c>
      <c r="F544" s="390">
        <v>42917</v>
      </c>
      <c r="G544" s="160">
        <v>268937.63</v>
      </c>
      <c r="H544" s="206">
        <v>161526.35999999999</v>
      </c>
      <c r="J544" s="390">
        <v>43009</v>
      </c>
      <c r="K544" s="206">
        <v>164090.28</v>
      </c>
      <c r="M544" s="190"/>
      <c r="N544" s="558">
        <f t="shared" si="3"/>
        <v>166048.76457310951</v>
      </c>
    </row>
    <row r="545" spans="1:14" x14ac:dyDescent="0.2">
      <c r="A545" s="416">
        <v>43129</v>
      </c>
      <c r="B545" s="403">
        <v>327084</v>
      </c>
      <c r="F545" s="390">
        <v>42948</v>
      </c>
      <c r="G545" s="160">
        <v>198251.6</v>
      </c>
      <c r="H545" s="206">
        <v>162013.01</v>
      </c>
      <c r="J545" s="390">
        <v>43040</v>
      </c>
      <c r="K545" s="206">
        <v>164908.01</v>
      </c>
      <c r="M545" s="190"/>
      <c r="N545" s="558">
        <f t="shared" si="3"/>
        <v>166879.00839597505</v>
      </c>
    </row>
    <row r="546" spans="1:14" x14ac:dyDescent="0.2">
      <c r="A546" s="416">
        <v>43130</v>
      </c>
      <c r="B546" s="403">
        <v>327084</v>
      </c>
      <c r="F546" s="390">
        <v>42979</v>
      </c>
      <c r="G546" s="160">
        <v>178964.63</v>
      </c>
      <c r="H546" s="206">
        <v>163493.49</v>
      </c>
      <c r="J546" s="390">
        <v>43070</v>
      </c>
      <c r="K546" s="206">
        <v>164937.87</v>
      </c>
      <c r="M546" s="190"/>
      <c r="N546" s="558">
        <f t="shared" si="3"/>
        <v>167713.40343795493</v>
      </c>
    </row>
    <row r="547" spans="1:14" x14ac:dyDescent="0.2">
      <c r="A547" s="416">
        <v>43131</v>
      </c>
      <c r="B547" s="403">
        <v>337130.63</v>
      </c>
      <c r="F547" s="390">
        <v>43009</v>
      </c>
      <c r="G547" s="160">
        <v>199171.39</v>
      </c>
      <c r="H547" s="206">
        <v>164090.28</v>
      </c>
      <c r="J547" s="390">
        <v>43101</v>
      </c>
      <c r="K547" s="206">
        <v>167966.33</v>
      </c>
      <c r="M547" s="190"/>
      <c r="N547" s="558">
        <f t="shared" si="3"/>
        <v>168551.97045514471</v>
      </c>
    </row>
    <row r="548" spans="1:14" x14ac:dyDescent="0.2">
      <c r="A548" s="416">
        <v>43132</v>
      </c>
      <c r="B548" s="403">
        <v>334292.59999999998</v>
      </c>
      <c r="F548" s="390">
        <v>43040</v>
      </c>
      <c r="G548" s="160">
        <v>180584.58</v>
      </c>
      <c r="H548" s="206">
        <v>164908.01</v>
      </c>
      <c r="J548" s="390">
        <v>43132</v>
      </c>
      <c r="K548" s="206">
        <v>164746.72</v>
      </c>
      <c r="M548" s="190"/>
      <c r="N548" s="558">
        <f t="shared" si="3"/>
        <v>169394.73030742042</v>
      </c>
    </row>
    <row r="549" spans="1:14" x14ac:dyDescent="0.2">
      <c r="A549" s="416">
        <v>43133</v>
      </c>
      <c r="B549" s="403">
        <v>335977.23</v>
      </c>
      <c r="F549" s="390">
        <v>43070</v>
      </c>
      <c r="G549" s="160">
        <v>258260.86</v>
      </c>
      <c r="H549" s="206">
        <v>164937.87</v>
      </c>
      <c r="J549" s="390">
        <v>43160</v>
      </c>
      <c r="K549" s="206">
        <v>163400.39000000001</v>
      </c>
      <c r="N549" s="558">
        <f t="shared" si="3"/>
        <v>170241.70395895751</v>
      </c>
    </row>
    <row r="550" spans="1:14" x14ac:dyDescent="0.2">
      <c r="A550" s="416">
        <v>43136</v>
      </c>
      <c r="B550" s="403">
        <v>300614.99</v>
      </c>
      <c r="F550" s="390">
        <v>43101</v>
      </c>
      <c r="G550" s="160">
        <v>297556.56</v>
      </c>
      <c r="H550" s="206">
        <v>167966.33</v>
      </c>
      <c r="J550" s="390">
        <v>43191</v>
      </c>
      <c r="K550" s="206">
        <v>163874.63</v>
      </c>
      <c r="N550" s="558">
        <f t="shared" si="3"/>
        <v>171092.91247875229</v>
      </c>
    </row>
    <row r="551" spans="1:14" x14ac:dyDescent="0.2">
      <c r="A551" s="416">
        <v>43137</v>
      </c>
      <c r="B551" s="403">
        <v>295509.53999999998</v>
      </c>
      <c r="F551" s="390">
        <v>43132</v>
      </c>
      <c r="G551" s="160">
        <v>287550</v>
      </c>
      <c r="H551" s="206">
        <v>164746.72</v>
      </c>
      <c r="J551" s="390">
        <v>43221</v>
      </c>
      <c r="K551" s="206">
        <v>165109.67000000001</v>
      </c>
      <c r="N551" s="558">
        <f t="shared" si="3"/>
        <v>171948.37704114604</v>
      </c>
    </row>
    <row r="552" spans="1:14" x14ac:dyDescent="0.2">
      <c r="A552" s="416">
        <v>43138</v>
      </c>
      <c r="B552" s="403">
        <v>295510</v>
      </c>
      <c r="F552" s="390">
        <v>43160</v>
      </c>
      <c r="G552" s="160">
        <v>277699.34999999998</v>
      </c>
      <c r="H552" s="206">
        <v>163400.39000000001</v>
      </c>
      <c r="J552" s="390">
        <v>43252</v>
      </c>
      <c r="K552" s="206">
        <v>164894.5</v>
      </c>
      <c r="M552" s="206"/>
      <c r="N552" s="558">
        <f t="shared" si="3"/>
        <v>172808.11892635177</v>
      </c>
    </row>
    <row r="553" spans="1:14" x14ac:dyDescent="0.2">
      <c r="A553" s="416">
        <v>43139</v>
      </c>
      <c r="B553" s="403">
        <v>295623.09999999998</v>
      </c>
      <c r="F553" s="390">
        <v>43191</v>
      </c>
      <c r="G553" s="160">
        <v>310068.02</v>
      </c>
      <c r="H553" s="206">
        <v>163874.63</v>
      </c>
      <c r="J553" s="390">
        <v>43282</v>
      </c>
      <c r="K553" s="206">
        <v>168308.43</v>
      </c>
      <c r="N553" s="558">
        <f t="shared" si="3"/>
        <v>173672.15952098352</v>
      </c>
    </row>
    <row r="554" spans="1:14" x14ac:dyDescent="0.2">
      <c r="A554" s="416">
        <v>43140</v>
      </c>
      <c r="B554" s="403">
        <v>295623</v>
      </c>
      <c r="F554" s="390">
        <v>43221</v>
      </c>
      <c r="G554" s="160">
        <v>338828.68</v>
      </c>
      <c r="H554" s="206">
        <v>165109.67000000001</v>
      </c>
      <c r="J554" s="390">
        <v>43313</v>
      </c>
      <c r="K554" s="206">
        <v>169314.31</v>
      </c>
      <c r="M554" s="160"/>
      <c r="N554" s="558">
        <f t="shared" si="3"/>
        <v>174540.52031858845</v>
      </c>
    </row>
    <row r="555" spans="1:14" x14ac:dyDescent="0.2">
      <c r="A555" s="416">
        <v>43143</v>
      </c>
      <c r="B555" s="403">
        <v>299232.09999999998</v>
      </c>
      <c r="F555" s="390">
        <v>43252</v>
      </c>
      <c r="G555" s="160">
        <v>316601.96000000002</v>
      </c>
      <c r="H555" s="206">
        <v>164894.5</v>
      </c>
      <c r="J555" s="390">
        <v>43344</v>
      </c>
      <c r="K555" s="206">
        <v>170138.99</v>
      </c>
      <c r="N555" s="558">
        <f t="shared" si="3"/>
        <v>175413.22292018138</v>
      </c>
    </row>
    <row r="556" spans="1:14" x14ac:dyDescent="0.2">
      <c r="A556" s="416">
        <v>43144</v>
      </c>
      <c r="B556" s="403">
        <v>304422.01</v>
      </c>
      <c r="F556" s="390">
        <v>43282</v>
      </c>
      <c r="G556" s="160">
        <v>282196.90999999997</v>
      </c>
      <c r="H556" s="206">
        <v>168308.43</v>
      </c>
      <c r="J556" s="390">
        <v>43374</v>
      </c>
      <c r="K556" s="206">
        <v>164332.01</v>
      </c>
      <c r="M556" s="305"/>
      <c r="N556" s="558">
        <f t="shared" si="3"/>
        <v>176290.28903478227</v>
      </c>
    </row>
    <row r="557" spans="1:14" x14ac:dyDescent="0.2">
      <c r="A557" s="416">
        <v>43145</v>
      </c>
      <c r="B557" s="403">
        <v>330191.24</v>
      </c>
      <c r="F557" s="390">
        <v>43313</v>
      </c>
      <c r="G557" s="160">
        <v>287391.71999999997</v>
      </c>
      <c r="H557" s="206">
        <v>169314.31</v>
      </c>
      <c r="J557" s="390">
        <v>43405</v>
      </c>
      <c r="K557" s="206">
        <v>166031.76999999999</v>
      </c>
      <c r="N557" s="558">
        <f t="shared" si="3"/>
        <v>177171.74047995618</v>
      </c>
    </row>
    <row r="558" spans="1:14" x14ac:dyDescent="0.2">
      <c r="A558" s="416">
        <v>43146</v>
      </c>
      <c r="B558" s="403">
        <v>313471.64</v>
      </c>
      <c r="F558" s="390">
        <v>43344</v>
      </c>
      <c r="G558" s="160">
        <v>327095.84000000003</v>
      </c>
      <c r="H558" s="206">
        <v>170138.99</v>
      </c>
      <c r="J558" s="390">
        <v>43435</v>
      </c>
      <c r="K558" s="206">
        <v>159621.23000000001</v>
      </c>
      <c r="N558" s="558">
        <f t="shared" si="3"/>
        <v>178057.59918235595</v>
      </c>
    </row>
    <row r="559" spans="1:14" x14ac:dyDescent="0.2">
      <c r="A559" s="416">
        <v>43147</v>
      </c>
      <c r="B559" s="403">
        <v>313472</v>
      </c>
      <c r="F559" s="390">
        <v>43374</v>
      </c>
      <c r="G559" s="160">
        <v>233504.28</v>
      </c>
      <c r="H559" s="206">
        <v>164332.01</v>
      </c>
      <c r="J559" s="390">
        <v>43466</v>
      </c>
      <c r="K559" s="206">
        <v>166873.93</v>
      </c>
      <c r="N559" s="558">
        <f t="shared" si="3"/>
        <v>178947.88717826773</v>
      </c>
    </row>
    <row r="560" spans="1:14" x14ac:dyDescent="0.2">
      <c r="A560" s="416">
        <v>43150</v>
      </c>
      <c r="B560" s="403">
        <v>313472</v>
      </c>
      <c r="F560" s="390">
        <v>43405</v>
      </c>
      <c r="G560" s="160">
        <v>166530.44</v>
      </c>
      <c r="H560" s="206">
        <v>166031.76999999999</v>
      </c>
      <c r="J560" s="390">
        <v>43497</v>
      </c>
      <c r="K560" s="206">
        <v>170486.28</v>
      </c>
      <c r="N560" s="558">
        <f t="shared" si="3"/>
        <v>179842.62661415906</v>
      </c>
    </row>
    <row r="561" spans="1:14" x14ac:dyDescent="0.2">
      <c r="A561" s="416">
        <v>43151</v>
      </c>
      <c r="B561" s="403">
        <v>277471.58</v>
      </c>
      <c r="F561" s="390">
        <v>43435</v>
      </c>
      <c r="G561" s="160">
        <v>245292.72</v>
      </c>
      <c r="H561" s="206">
        <v>159621.23000000001</v>
      </c>
      <c r="J561" s="390">
        <v>43525</v>
      </c>
      <c r="K561" s="206">
        <v>171537.16</v>
      </c>
      <c r="N561" s="558">
        <f t="shared" si="3"/>
        <v>180741.83974722985</v>
      </c>
    </row>
    <row r="562" spans="1:14" x14ac:dyDescent="0.2">
      <c r="A562" s="416">
        <v>43152</v>
      </c>
      <c r="B562" s="403">
        <v>287526.92</v>
      </c>
      <c r="F562" s="390">
        <v>43466</v>
      </c>
      <c r="G562" s="160">
        <v>322895</v>
      </c>
      <c r="H562" s="206">
        <v>166873.93</v>
      </c>
      <c r="J562" s="390">
        <v>43556</v>
      </c>
      <c r="K562" s="206">
        <v>174601.21</v>
      </c>
      <c r="N562" s="558">
        <f t="shared" si="3"/>
        <v>181645.548945966</v>
      </c>
    </row>
    <row r="563" spans="1:14" x14ac:dyDescent="0.2">
      <c r="A563" s="416">
        <v>43153</v>
      </c>
      <c r="B563" s="403">
        <v>296486.64</v>
      </c>
      <c r="F563" s="390">
        <v>43497</v>
      </c>
      <c r="G563" s="160">
        <v>388590.24</v>
      </c>
      <c r="H563" s="206">
        <v>170486.28</v>
      </c>
      <c r="J563" s="390">
        <v>43586</v>
      </c>
      <c r="K563" s="206">
        <v>169831.32</v>
      </c>
      <c r="N563" s="558">
        <f t="shared" si="3"/>
        <v>182553.77669069584</v>
      </c>
    </row>
    <row r="564" spans="1:14" x14ac:dyDescent="0.2">
      <c r="A564" s="416">
        <v>43154</v>
      </c>
      <c r="B564" s="403">
        <v>296487</v>
      </c>
      <c r="F564" s="390">
        <v>43525</v>
      </c>
      <c r="G564" s="160">
        <v>244069.19</v>
      </c>
      <c r="H564" s="206">
        <v>171537.16</v>
      </c>
      <c r="J564" s="390">
        <v>43617</v>
      </c>
      <c r="K564" s="206">
        <v>175962.43</v>
      </c>
      <c r="N564" s="558">
        <f t="shared" si="3"/>
        <v>183466.54557414932</v>
      </c>
    </row>
    <row r="565" spans="1:14" x14ac:dyDescent="0.2">
      <c r="A565" s="416">
        <v>43157</v>
      </c>
      <c r="B565" s="403">
        <v>296487</v>
      </c>
      <c r="F565" s="390">
        <v>43556</v>
      </c>
      <c r="G565" s="160">
        <v>265093.77</v>
      </c>
      <c r="H565" s="206">
        <v>174601.21</v>
      </c>
      <c r="J565" s="390">
        <v>43647</v>
      </c>
      <c r="K565" s="206">
        <v>176392.07</v>
      </c>
      <c r="N565" s="558">
        <f t="shared" si="3"/>
        <v>184383.87830202008</v>
      </c>
    </row>
    <row r="566" spans="1:14" x14ac:dyDescent="0.2">
      <c r="A566" s="416">
        <v>43158</v>
      </c>
      <c r="B566" s="403">
        <v>335911.5</v>
      </c>
      <c r="F566" s="390">
        <v>43586</v>
      </c>
      <c r="G566" s="160">
        <v>218979.44</v>
      </c>
      <c r="H566" s="206">
        <v>169831.32</v>
      </c>
      <c r="J566" s="390">
        <v>43678</v>
      </c>
      <c r="K566" s="206">
        <v>174581</v>
      </c>
      <c r="N566" s="558">
        <f t="shared" si="3"/>
        <v>185305.79769353018</v>
      </c>
    </row>
    <row r="567" spans="1:14" x14ac:dyDescent="0.2">
      <c r="A567" s="416">
        <v>43159</v>
      </c>
      <c r="B567" s="403">
        <v>335912</v>
      </c>
      <c r="F567" s="390">
        <v>43617</v>
      </c>
      <c r="G567" s="160">
        <v>271553.78999999998</v>
      </c>
      <c r="H567" s="206">
        <v>175962.43</v>
      </c>
      <c r="J567" s="390">
        <v>43709</v>
      </c>
      <c r="K567" s="206">
        <v>175832.82</v>
      </c>
      <c r="N567" s="558">
        <f t="shared" si="3"/>
        <v>186232.32668199783</v>
      </c>
    </row>
    <row r="568" spans="1:14" x14ac:dyDescent="0.2">
      <c r="A568" s="416">
        <v>43160</v>
      </c>
      <c r="B568" s="403">
        <v>330042.21999999997</v>
      </c>
      <c r="F568" s="390">
        <v>43647</v>
      </c>
      <c r="G568" s="160">
        <v>272625.19</v>
      </c>
      <c r="H568" s="206">
        <v>176392.07</v>
      </c>
      <c r="J568" s="390">
        <v>43739</v>
      </c>
      <c r="K568" s="206">
        <v>176684.91</v>
      </c>
      <c r="N568" s="558">
        <f t="shared" si="3"/>
        <v>187163.48831540783</v>
      </c>
    </row>
    <row r="569" spans="1:14" x14ac:dyDescent="0.2">
      <c r="A569" s="416">
        <v>43161</v>
      </c>
      <c r="B569" s="444">
        <v>367034.5</v>
      </c>
      <c r="F569" s="390">
        <v>43678</v>
      </c>
      <c r="G569" s="160">
        <v>249105.04</v>
      </c>
      <c r="H569" s="206">
        <v>174581.16</v>
      </c>
      <c r="J569" s="390">
        <v>43770</v>
      </c>
      <c r="K569" s="206">
        <v>180686.55</v>
      </c>
      <c r="N569" s="558">
        <f t="shared" si="3"/>
        <v>188099.30575698486</v>
      </c>
    </row>
    <row r="570" spans="1:14" x14ac:dyDescent="0.2">
      <c r="A570" s="416">
        <v>43164</v>
      </c>
      <c r="B570" s="403">
        <v>330990.42</v>
      </c>
      <c r="F570" s="390">
        <v>43709</v>
      </c>
      <c r="G570" s="160">
        <v>224675.57</v>
      </c>
      <c r="H570" s="206">
        <v>175832.82</v>
      </c>
      <c r="J570" s="390">
        <v>43800</v>
      </c>
      <c r="K570" s="206">
        <v>184417.26</v>
      </c>
      <c r="N570" s="558">
        <f t="shared" si="3"/>
        <v>189039.80228576978</v>
      </c>
    </row>
    <row r="571" spans="1:14" x14ac:dyDescent="0.2">
      <c r="A571" s="416">
        <v>43165</v>
      </c>
      <c r="B571" s="403">
        <v>333065.89</v>
      </c>
      <c r="F571" s="390">
        <v>43739</v>
      </c>
      <c r="G571" s="160">
        <f>250597.51-10616</f>
        <v>239981.51</v>
      </c>
      <c r="H571" s="206">
        <v>176684.91</v>
      </c>
      <c r="J571" s="390">
        <v>43831</v>
      </c>
      <c r="K571" s="206">
        <v>186588.03</v>
      </c>
      <c r="N571" s="558">
        <f t="shared" si="3"/>
        <v>189985.00129719861</v>
      </c>
    </row>
    <row r="572" spans="1:14" x14ac:dyDescent="0.2">
      <c r="A572" s="416">
        <v>43166</v>
      </c>
      <c r="B572" s="403">
        <v>331065.89</v>
      </c>
      <c r="F572" s="390">
        <v>43770</v>
      </c>
      <c r="G572" s="160">
        <f>213081.72-10616</f>
        <v>202465.72</v>
      </c>
      <c r="H572" s="206">
        <v>180686.55</v>
      </c>
      <c r="J572" s="390">
        <v>43862</v>
      </c>
      <c r="K572" s="206">
        <v>177685.24</v>
      </c>
      <c r="N572" s="558">
        <f t="shared" si="3"/>
        <v>190934.9263036846</v>
      </c>
    </row>
    <row r="573" spans="1:14" x14ac:dyDescent="0.2">
      <c r="A573" s="416">
        <v>43167</v>
      </c>
      <c r="B573" s="403">
        <v>331092.17</v>
      </c>
      <c r="F573" s="390">
        <v>43800</v>
      </c>
      <c r="G573" s="160">
        <v>298881.24</v>
      </c>
      <c r="H573" s="206">
        <v>184417.26</v>
      </c>
      <c r="J573" s="390">
        <v>43891</v>
      </c>
      <c r="K573" s="206">
        <v>162398.81</v>
      </c>
      <c r="N573" s="558">
        <f t="shared" si="3"/>
        <v>191889.60093520302</v>
      </c>
    </row>
    <row r="574" spans="1:14" x14ac:dyDescent="0.2">
      <c r="A574" s="416">
        <v>43168</v>
      </c>
      <c r="B574" s="403">
        <v>311733.17</v>
      </c>
      <c r="F574" s="390">
        <v>43831</v>
      </c>
      <c r="G574" s="160">
        <v>326352.59000000003</v>
      </c>
      <c r="H574" s="206">
        <v>186588.03</v>
      </c>
      <c r="J574" s="390">
        <v>43922</v>
      </c>
      <c r="K574" s="206">
        <v>175055.83</v>
      </c>
      <c r="N574" s="558">
        <f t="shared" si="3"/>
        <v>192849.04893987905</v>
      </c>
    </row>
    <row r="575" spans="1:14" x14ac:dyDescent="0.2">
      <c r="A575" s="416">
        <v>43171</v>
      </c>
      <c r="B575" s="403">
        <v>317116.19</v>
      </c>
      <c r="F575" s="390">
        <v>43862</v>
      </c>
      <c r="G575" s="160">
        <v>247842.14</v>
      </c>
      <c r="H575" s="206">
        <v>177685.24</v>
      </c>
      <c r="J575" s="390">
        <v>43952</v>
      </c>
      <c r="K575" s="206">
        <v>180640.71</v>
      </c>
      <c r="N575" s="558">
        <f t="shared" si="3"/>
        <v>193813.29418457844</v>
      </c>
    </row>
    <row r="576" spans="1:14" x14ac:dyDescent="0.2">
      <c r="A576" s="416">
        <v>43172</v>
      </c>
      <c r="B576" s="403">
        <v>317116</v>
      </c>
      <c r="F576" s="390">
        <v>43891</v>
      </c>
      <c r="G576" s="160">
        <v>256001.05</v>
      </c>
      <c r="H576" s="206">
        <v>162398.81</v>
      </c>
      <c r="J576" s="390">
        <v>43983</v>
      </c>
      <c r="K576" s="206">
        <v>183627.14</v>
      </c>
      <c r="N576" s="558">
        <f t="shared" si="3"/>
        <v>194782.36065550134</v>
      </c>
    </row>
    <row r="577" spans="1:18" x14ac:dyDescent="0.2">
      <c r="A577" s="416">
        <v>43173</v>
      </c>
      <c r="B577" s="403">
        <v>317496.19</v>
      </c>
      <c r="F577" s="390">
        <v>43922</v>
      </c>
      <c r="G577" s="160">
        <v>319553.11</v>
      </c>
      <c r="H577" s="206">
        <v>175055.83</v>
      </c>
      <c r="J577" s="390">
        <v>44013</v>
      </c>
      <c r="K577" s="206">
        <v>191310.14</v>
      </c>
      <c r="L577" s="190"/>
      <c r="N577" s="558">
        <f t="shared" si="3"/>
        <v>195756.27245877884</v>
      </c>
      <c r="O577" s="190"/>
      <c r="P577" s="190"/>
      <c r="Q577" s="190"/>
      <c r="R577" s="190"/>
    </row>
    <row r="578" spans="1:18" x14ac:dyDescent="0.2">
      <c r="A578" s="416">
        <v>43174</v>
      </c>
      <c r="B578" s="403">
        <v>317772.45</v>
      </c>
      <c r="F578" s="390">
        <v>43952</v>
      </c>
      <c r="G578" s="160">
        <v>373887.89</v>
      </c>
      <c r="H578" s="206">
        <v>180640.71</v>
      </c>
      <c r="J578" s="390">
        <v>44044</v>
      </c>
      <c r="K578" s="206">
        <v>196731.42</v>
      </c>
      <c r="L578" s="190"/>
      <c r="N578" s="558">
        <f t="shared" si="3"/>
        <v>196735.05382107274</v>
      </c>
      <c r="P578" s="190"/>
      <c r="Q578" s="190"/>
      <c r="R578" s="190"/>
    </row>
    <row r="579" spans="1:18" x14ac:dyDescent="0.2">
      <c r="A579" s="416">
        <v>43175</v>
      </c>
      <c r="B579" s="403">
        <v>317772</v>
      </c>
      <c r="C579" s="416"/>
      <c r="D579" s="403"/>
      <c r="F579" s="390">
        <v>43983</v>
      </c>
      <c r="G579" s="160">
        <v>387259.9</v>
      </c>
      <c r="H579" s="206">
        <v>183627.14</v>
      </c>
      <c r="J579" s="390">
        <v>44075</v>
      </c>
      <c r="K579" s="206">
        <v>192424.98</v>
      </c>
      <c r="L579" s="190"/>
      <c r="N579" s="558">
        <f t="shared" si="3"/>
        <v>197718.72909017809</v>
      </c>
      <c r="P579" s="190"/>
      <c r="Q579" s="190"/>
      <c r="R579" s="190"/>
    </row>
    <row r="580" spans="1:18" x14ac:dyDescent="0.2">
      <c r="A580" s="416">
        <v>43178</v>
      </c>
      <c r="B580" s="403">
        <v>279446.55</v>
      </c>
      <c r="C580" s="416"/>
      <c r="D580" s="403"/>
      <c r="F580" s="390">
        <v>44013</v>
      </c>
      <c r="G580" s="160">
        <v>393896.48</v>
      </c>
      <c r="H580" s="206">
        <v>191310.14</v>
      </c>
      <c r="J580" s="390">
        <v>44105</v>
      </c>
      <c r="K580" s="206">
        <v>189044.54</v>
      </c>
      <c r="L580" s="190"/>
      <c r="N580" s="558">
        <f t="shared" si="3"/>
        <v>198707.32273562899</v>
      </c>
      <c r="P580" s="190"/>
      <c r="Q580" s="190"/>
      <c r="R580" s="190"/>
    </row>
    <row r="581" spans="1:18" x14ac:dyDescent="0.2">
      <c r="A581" s="416">
        <v>43179</v>
      </c>
      <c r="B581" s="403">
        <v>272785.62</v>
      </c>
      <c r="C581" s="416"/>
      <c r="D581" s="403"/>
      <c r="F581" s="390">
        <v>44044</v>
      </c>
      <c r="G581" s="160">
        <v>318622.86</v>
      </c>
      <c r="H581" s="206">
        <v>196731.42</v>
      </c>
      <c r="J581" s="390">
        <v>44136</v>
      </c>
      <c r="K581" s="206">
        <v>201253.81</v>
      </c>
      <c r="L581" s="190"/>
      <c r="N581" s="558">
        <f t="shared" si="3"/>
        <v>199700.85934930714</v>
      </c>
      <c r="P581" s="190"/>
      <c r="Q581" s="190"/>
      <c r="R581" s="190"/>
    </row>
    <row r="582" spans="1:18" x14ac:dyDescent="0.2">
      <c r="A582" s="416">
        <v>43180</v>
      </c>
      <c r="B582" s="403">
        <v>288240.15999999997</v>
      </c>
      <c r="C582" s="416"/>
      <c r="D582" s="403"/>
      <c r="F582" s="390">
        <v>44075</v>
      </c>
      <c r="G582" s="160">
        <v>310792.11</v>
      </c>
      <c r="H582" s="206">
        <v>192424.98</v>
      </c>
      <c r="J582" s="390">
        <v>44166</v>
      </c>
      <c r="K582" s="206">
        <v>206549.06</v>
      </c>
      <c r="L582" s="190"/>
      <c r="N582" s="558">
        <f t="shared" si="3"/>
        <v>200699.36364605368</v>
      </c>
      <c r="O582" s="190"/>
      <c r="P582" s="190"/>
      <c r="Q582" s="190"/>
      <c r="R582" s="190"/>
    </row>
    <row r="583" spans="1:18" x14ac:dyDescent="0.2">
      <c r="A583" s="416">
        <v>43181</v>
      </c>
      <c r="B583" s="403">
        <v>278742.74</v>
      </c>
      <c r="C583" s="416"/>
      <c r="D583" s="403"/>
      <c r="F583" s="390">
        <v>44105</v>
      </c>
      <c r="G583" s="160">
        <v>337545.3</v>
      </c>
      <c r="H583" s="206">
        <v>189044.54</v>
      </c>
      <c r="J583" s="390">
        <v>44197</v>
      </c>
      <c r="K583" s="206">
        <v>204163.62</v>
      </c>
      <c r="L583" s="190"/>
      <c r="N583" s="558">
        <f t="shared" si="3"/>
        <v>201702.86046428393</v>
      </c>
      <c r="O583" s="190"/>
      <c r="P583" s="190"/>
      <c r="Q583" s="190"/>
      <c r="R583" s="190"/>
    </row>
    <row r="584" spans="1:18" x14ac:dyDescent="0.2">
      <c r="A584" s="416">
        <v>43182</v>
      </c>
      <c r="B584" s="403">
        <v>278840.24</v>
      </c>
      <c r="C584" s="416"/>
      <c r="D584" s="403"/>
      <c r="F584" s="390">
        <v>44136</v>
      </c>
      <c r="G584" s="160">
        <v>407385.79</v>
      </c>
      <c r="H584" s="206">
        <v>201253.81</v>
      </c>
      <c r="J584" s="390">
        <v>44228</v>
      </c>
      <c r="K584" s="206">
        <v>207045.8</v>
      </c>
      <c r="L584" s="190"/>
      <c r="N584" s="558">
        <f t="shared" si="3"/>
        <v>202711.37476660535</v>
      </c>
      <c r="O584" s="190"/>
      <c r="P584" s="190"/>
      <c r="Q584" s="190"/>
      <c r="R584" s="190"/>
    </row>
    <row r="585" spans="1:18" x14ac:dyDescent="0.2">
      <c r="A585" s="416">
        <v>43185</v>
      </c>
      <c r="B585" s="403">
        <v>278942.24</v>
      </c>
      <c r="C585" s="416"/>
      <c r="D585" s="403"/>
      <c r="F585" s="390">
        <v>44166</v>
      </c>
      <c r="G585" s="160">
        <v>325944.61</v>
      </c>
      <c r="H585" s="206">
        <v>206549.06</v>
      </c>
      <c r="J585" s="390">
        <v>44256</v>
      </c>
      <c r="K585" s="206">
        <v>211866.05</v>
      </c>
      <c r="L585" s="190"/>
      <c r="N585" s="558">
        <f t="shared" si="3"/>
        <v>203724.93164043839</v>
      </c>
      <c r="O585" s="190"/>
      <c r="P585" s="190"/>
      <c r="Q585" s="190"/>
      <c r="R585" s="190"/>
    </row>
    <row r="586" spans="1:18" x14ac:dyDescent="0.2">
      <c r="A586" s="416">
        <v>43186</v>
      </c>
      <c r="B586" s="403">
        <v>257048.49</v>
      </c>
      <c r="C586" s="416"/>
      <c r="D586" s="403"/>
      <c r="F586" s="390">
        <v>44197</v>
      </c>
      <c r="G586" s="160">
        <v>416865.56</v>
      </c>
      <c r="H586" s="206">
        <v>204163.62</v>
      </c>
      <c r="J586" s="390">
        <v>44287</v>
      </c>
      <c r="K586" s="206">
        <v>218448.38</v>
      </c>
      <c r="L586" s="190"/>
      <c r="N586" s="558">
        <f t="shared" si="3"/>
        <v>204743.55629864059</v>
      </c>
      <c r="O586" s="190"/>
      <c r="P586" s="190"/>
      <c r="Q586" s="190"/>
      <c r="R586" s="190"/>
    </row>
    <row r="587" spans="1:18" x14ac:dyDescent="0.2">
      <c r="A587" s="416">
        <v>43187</v>
      </c>
      <c r="B587" s="403">
        <v>252662.47</v>
      </c>
      <c r="C587" s="416"/>
      <c r="D587" s="403"/>
      <c r="F587" s="390">
        <v>44228</v>
      </c>
      <c r="G587" s="160">
        <v>403762.36</v>
      </c>
      <c r="H587" s="206">
        <v>207045.8</v>
      </c>
      <c r="J587" s="390">
        <v>44317</v>
      </c>
      <c r="K587" s="206">
        <f>222185</f>
        <v>222185</v>
      </c>
      <c r="L587" s="190"/>
      <c r="N587" s="558">
        <f t="shared" si="3"/>
        <v>205767.27408013379</v>
      </c>
      <c r="O587" s="190"/>
      <c r="P587" s="190"/>
      <c r="Q587" s="190"/>
      <c r="R587" s="190"/>
    </row>
    <row r="588" spans="1:18" x14ac:dyDescent="0.2">
      <c r="A588" s="416">
        <v>43188</v>
      </c>
      <c r="B588" s="403">
        <v>254708.73</v>
      </c>
      <c r="C588" s="416"/>
      <c r="D588" s="403"/>
      <c r="F588" s="390">
        <v>44256</v>
      </c>
      <c r="G588" s="160">
        <v>218522.99</v>
      </c>
      <c r="H588" s="206">
        <v>211866.05</v>
      </c>
      <c r="J588" s="390">
        <v>44348</v>
      </c>
      <c r="K588" s="206">
        <v>222449.07</v>
      </c>
      <c r="L588" s="190"/>
      <c r="N588" s="558">
        <f t="shared" si="3"/>
        <v>206796.11045053447</v>
      </c>
      <c r="O588" s="190"/>
      <c r="P588" s="190"/>
      <c r="Q588" s="190"/>
      <c r="R588" s="190"/>
    </row>
    <row r="589" spans="1:18" x14ac:dyDescent="0.2">
      <c r="A589" s="416">
        <v>43189</v>
      </c>
      <c r="B589" s="403">
        <v>281702.86</v>
      </c>
      <c r="C589" s="416"/>
      <c r="D589" s="403"/>
      <c r="F589" s="390">
        <v>44287</v>
      </c>
      <c r="G589" s="160">
        <v>281784.46000000002</v>
      </c>
      <c r="H589" s="206">
        <v>218448.38</v>
      </c>
      <c r="J589" s="390">
        <v>44378</v>
      </c>
      <c r="K589" s="206">
        <v>325177.46999999997</v>
      </c>
      <c r="L589" s="190"/>
      <c r="N589" s="558">
        <f>N$525*N588/12 +N588+100000</f>
        <v>307830.09100278711</v>
      </c>
      <c r="O589" s="190"/>
      <c r="P589" s="190"/>
      <c r="Q589" s="190"/>
      <c r="R589" s="190"/>
    </row>
    <row r="590" spans="1:18" x14ac:dyDescent="0.2">
      <c r="A590" s="416">
        <v>43192</v>
      </c>
      <c r="B590" s="403">
        <v>244220.77</v>
      </c>
      <c r="C590" s="416"/>
      <c r="D590" s="403"/>
      <c r="F590" s="390">
        <v>44317</v>
      </c>
      <c r="G590" s="160">
        <v>231705.38</v>
      </c>
      <c r="H590" s="206">
        <v>222184.92</v>
      </c>
      <c r="J590" s="390">
        <v>44409</v>
      </c>
      <c r="K590" s="206">
        <v>329419.45</v>
      </c>
      <c r="L590" s="190"/>
      <c r="N590" s="558">
        <f t="shared" si="3"/>
        <v>309369.24145780102</v>
      </c>
    </row>
    <row r="591" spans="1:18" x14ac:dyDescent="0.2">
      <c r="A591" s="416">
        <v>43193</v>
      </c>
      <c r="B591" s="403">
        <v>244221</v>
      </c>
      <c r="C591" s="416"/>
      <c r="D591" s="403"/>
      <c r="F591" s="390">
        <v>44348</v>
      </c>
      <c r="G591" s="160">
        <v>254786.13</v>
      </c>
      <c r="H591" s="206">
        <v>222449.07</v>
      </c>
      <c r="J591" s="390">
        <v>44440</v>
      </c>
      <c r="K591" s="206">
        <v>318755.06</v>
      </c>
      <c r="L591" s="190"/>
      <c r="N591" s="558">
        <f t="shared" si="3"/>
        <v>310916.08766509005</v>
      </c>
    </row>
    <row r="592" spans="1:18" x14ac:dyDescent="0.2">
      <c r="A592" s="416">
        <v>43194</v>
      </c>
      <c r="B592" s="403">
        <v>244221</v>
      </c>
      <c r="C592" s="416"/>
      <c r="D592" s="403"/>
      <c r="F592" s="390">
        <v>44378</v>
      </c>
      <c r="G592" s="160">
        <v>323671.89</v>
      </c>
      <c r="H592" s="206">
        <v>325177.46999999997</v>
      </c>
      <c r="J592" s="390">
        <v>44470</v>
      </c>
      <c r="K592" s="206">
        <v>329502.62</v>
      </c>
      <c r="L592" s="190"/>
      <c r="N592" s="558">
        <f t="shared" ref="N592:N596" si="4">N$525*N591/12 +N591</f>
        <v>312470.66810341552</v>
      </c>
    </row>
    <row r="593" spans="1:14" x14ac:dyDescent="0.2">
      <c r="A593" s="416">
        <v>43195</v>
      </c>
      <c r="B593" s="403">
        <v>225503.87</v>
      </c>
      <c r="C593" s="416"/>
      <c r="D593" s="403"/>
      <c r="F593" s="390">
        <v>44409</v>
      </c>
      <c r="G593" s="160">
        <v>334383.06</v>
      </c>
      <c r="H593" s="206">
        <v>329419.45</v>
      </c>
      <c r="J593" s="390">
        <v>44501</v>
      </c>
      <c r="K593" s="206">
        <v>323833.99</v>
      </c>
      <c r="L593" s="190"/>
      <c r="N593" s="558">
        <f t="shared" si="4"/>
        <v>314033.02144393261</v>
      </c>
    </row>
    <row r="594" spans="1:14" x14ac:dyDescent="0.2">
      <c r="A594" s="416">
        <v>43196</v>
      </c>
      <c r="B594" s="403">
        <v>225504</v>
      </c>
      <c r="C594" s="416"/>
      <c r="D594" s="403"/>
      <c r="F594" s="390">
        <v>44440</v>
      </c>
      <c r="G594" s="160">
        <v>325598.5</v>
      </c>
      <c r="H594" s="206">
        <v>318755.06</v>
      </c>
      <c r="J594" s="390">
        <v>44531</v>
      </c>
      <c r="K594" s="206">
        <v>334446.53999999998</v>
      </c>
      <c r="L594" s="190"/>
      <c r="N594" s="558">
        <f t="shared" si="4"/>
        <v>315603.18655115226</v>
      </c>
    </row>
    <row r="595" spans="1:14" x14ac:dyDescent="0.2">
      <c r="A595" s="416">
        <v>43199</v>
      </c>
      <c r="B595" s="403">
        <v>225503.8</v>
      </c>
      <c r="C595" s="416"/>
      <c r="D595" s="403"/>
      <c r="F595" s="390">
        <v>44470</v>
      </c>
      <c r="G595" s="160">
        <v>397934.47</v>
      </c>
      <c r="H595" s="206">
        <v>329502.62</v>
      </c>
      <c r="J595" s="390">
        <v>44562</v>
      </c>
      <c r="K595" s="206">
        <v>323933.77</v>
      </c>
      <c r="L595" s="190"/>
      <c r="N595" s="558">
        <f t="shared" si="4"/>
        <v>317181.20248390804</v>
      </c>
    </row>
    <row r="596" spans="1:14" x14ac:dyDescent="0.2">
      <c r="A596" s="416">
        <v>43200</v>
      </c>
      <c r="B596" s="403">
        <v>227389.96</v>
      </c>
      <c r="C596" s="416"/>
      <c r="D596" s="403"/>
      <c r="F596" s="390">
        <v>44501</v>
      </c>
      <c r="G596" s="160">
        <v>304557.78000000003</v>
      </c>
      <c r="H596" s="206">
        <v>323833.99</v>
      </c>
      <c r="J596" s="390">
        <v>44593</v>
      </c>
      <c r="K596" s="206">
        <v>319586.55</v>
      </c>
      <c r="L596" s="190"/>
      <c r="N596" s="558">
        <f t="shared" si="4"/>
        <v>318767.10849632759</v>
      </c>
    </row>
    <row r="597" spans="1:14" x14ac:dyDescent="0.2">
      <c r="A597" s="416">
        <v>43201</v>
      </c>
      <c r="B597" s="403">
        <v>235472.53</v>
      </c>
      <c r="C597" s="416"/>
      <c r="D597" s="403"/>
      <c r="F597" s="390">
        <v>44531</v>
      </c>
      <c r="G597" s="160">
        <v>339829.81</v>
      </c>
      <c r="H597" s="206">
        <v>334446.53999999998</v>
      </c>
      <c r="J597" s="390">
        <v>44621</v>
      </c>
      <c r="K597" s="206">
        <v>422621.04</v>
      </c>
      <c r="L597" s="190"/>
    </row>
    <row r="598" spans="1:14" x14ac:dyDescent="0.2">
      <c r="A598" s="416">
        <v>43202</v>
      </c>
      <c r="B598" s="403">
        <v>222207.84</v>
      </c>
      <c r="C598" s="416"/>
      <c r="D598" s="403"/>
      <c r="F598" s="390">
        <v>44562</v>
      </c>
      <c r="G598" s="160">
        <v>483670.84</v>
      </c>
      <c r="H598" s="206">
        <v>323933.77</v>
      </c>
      <c r="J598" s="390">
        <v>44652</v>
      </c>
      <c r="K598" s="206">
        <v>399826.35</v>
      </c>
      <c r="L598" s="190"/>
    </row>
    <row r="599" spans="1:14" x14ac:dyDescent="0.2">
      <c r="A599" s="416">
        <v>43203</v>
      </c>
      <c r="B599" s="403">
        <v>222287.93</v>
      </c>
      <c r="C599" s="416"/>
      <c r="D599" s="403"/>
      <c r="F599" s="390">
        <v>44593</v>
      </c>
      <c r="G599" s="160">
        <v>403181.63</v>
      </c>
      <c r="H599" s="206">
        <v>319586.55</v>
      </c>
      <c r="J599" s="390">
        <v>44682</v>
      </c>
      <c r="K599" s="206">
        <v>404182.26</v>
      </c>
      <c r="L599" s="190"/>
    </row>
    <row r="600" spans="1:14" x14ac:dyDescent="0.2">
      <c r="A600" s="416">
        <v>43206</v>
      </c>
      <c r="B600" s="403">
        <v>186664.28</v>
      </c>
      <c r="C600" s="416"/>
      <c r="D600" s="403"/>
      <c r="F600" s="390">
        <v>44621</v>
      </c>
      <c r="G600" s="160">
        <v>315833.28999999998</v>
      </c>
      <c r="H600" s="206">
        <v>422621.04</v>
      </c>
      <c r="J600" s="390">
        <v>44713</v>
      </c>
      <c r="K600" s="206">
        <v>378955.05</v>
      </c>
      <c r="L600" s="190"/>
    </row>
    <row r="601" spans="1:14" x14ac:dyDescent="0.2">
      <c r="A601" s="416">
        <v>43207</v>
      </c>
      <c r="B601" s="403">
        <v>188484.95</v>
      </c>
      <c r="C601" s="416"/>
      <c r="D601" s="403"/>
      <c r="F601" s="390">
        <v>44652</v>
      </c>
      <c r="G601" s="160">
        <v>327170</v>
      </c>
      <c r="H601" s="206">
        <v>399826.35</v>
      </c>
      <c r="J601" s="390">
        <v>44743</v>
      </c>
      <c r="K601" s="206">
        <v>395341.91</v>
      </c>
      <c r="L601" s="190"/>
    </row>
    <row r="602" spans="1:14" x14ac:dyDescent="0.2">
      <c r="A602" s="416">
        <v>43208</v>
      </c>
      <c r="B602" s="403">
        <v>188485</v>
      </c>
      <c r="C602" s="416"/>
      <c r="D602" s="403"/>
      <c r="F602" s="390">
        <v>44682</v>
      </c>
      <c r="G602" s="160">
        <v>246847.16</v>
      </c>
      <c r="H602" s="206">
        <v>404182.26</v>
      </c>
      <c r="J602" s="390">
        <v>44774</v>
      </c>
      <c r="K602" s="206">
        <v>382796.02</v>
      </c>
      <c r="L602" s="190"/>
    </row>
    <row r="603" spans="1:14" x14ac:dyDescent="0.2">
      <c r="A603" s="416">
        <v>43209</v>
      </c>
      <c r="B603" s="403">
        <v>180474.73</v>
      </c>
      <c r="C603" s="416"/>
      <c r="D603" s="403"/>
      <c r="F603" s="390">
        <v>44713</v>
      </c>
      <c r="G603" s="160">
        <v>274391.32</v>
      </c>
      <c r="H603" s="206">
        <v>378955.05</v>
      </c>
      <c r="J603" s="390">
        <v>44805</v>
      </c>
      <c r="K603" s="206">
        <v>357259.36</v>
      </c>
      <c r="L603" s="190"/>
    </row>
    <row r="604" spans="1:14" x14ac:dyDescent="0.2">
      <c r="A604" s="416">
        <v>43210</v>
      </c>
      <c r="B604" s="403">
        <v>188207.38</v>
      </c>
      <c r="C604" s="416"/>
      <c r="D604" s="403"/>
      <c r="F604" s="390">
        <v>44743</v>
      </c>
      <c r="G604" s="160">
        <v>311473.07</v>
      </c>
      <c r="H604" s="206">
        <v>395341.91</v>
      </c>
      <c r="J604" s="390">
        <v>44835</v>
      </c>
      <c r="K604" s="206">
        <v>374993.63</v>
      </c>
      <c r="L604" s="190"/>
    </row>
    <row r="605" spans="1:14" x14ac:dyDescent="0.2">
      <c r="A605" s="416">
        <v>43213</v>
      </c>
      <c r="B605" s="403">
        <v>198618.83</v>
      </c>
      <c r="C605" s="416"/>
      <c r="D605" s="403"/>
      <c r="F605" s="390">
        <v>44774</v>
      </c>
      <c r="G605" s="160">
        <v>246923.1</v>
      </c>
      <c r="H605" s="206">
        <v>382796.02</v>
      </c>
      <c r="J605" s="390">
        <v>44866</v>
      </c>
      <c r="K605" s="206">
        <v>396685.21</v>
      </c>
      <c r="L605" s="190"/>
    </row>
    <row r="606" spans="1:14" x14ac:dyDescent="0.2">
      <c r="A606" s="416">
        <v>43214</v>
      </c>
      <c r="B606" s="403">
        <v>198619</v>
      </c>
      <c r="C606" s="416"/>
      <c r="D606" s="403"/>
      <c r="F606" s="390">
        <v>44805</v>
      </c>
      <c r="G606" s="160">
        <v>214783.77</v>
      </c>
      <c r="H606" s="206">
        <v>357259.36</v>
      </c>
      <c r="J606" s="390">
        <v>44896</v>
      </c>
      <c r="K606" s="206">
        <v>385734.14</v>
      </c>
      <c r="L606" s="190"/>
    </row>
    <row r="607" spans="1:14" x14ac:dyDescent="0.2">
      <c r="A607" s="416">
        <v>43215</v>
      </c>
      <c r="B607" s="403">
        <v>198619</v>
      </c>
      <c r="C607" s="416"/>
      <c r="D607" s="403"/>
      <c r="F607" s="390">
        <v>44835</v>
      </c>
      <c r="G607" s="160">
        <v>264786.40999999997</v>
      </c>
      <c r="H607" s="206">
        <v>374993.63</v>
      </c>
      <c r="J607" s="390">
        <v>44927</v>
      </c>
      <c r="K607" s="206">
        <v>402326.67</v>
      </c>
      <c r="L607" s="190"/>
    </row>
    <row r="608" spans="1:14" x14ac:dyDescent="0.2">
      <c r="A608" s="416">
        <v>43216</v>
      </c>
      <c r="B608" s="403">
        <v>189089.55</v>
      </c>
      <c r="C608" s="416"/>
      <c r="D608" s="403"/>
      <c r="F608" s="390">
        <v>44866</v>
      </c>
      <c r="G608" s="160">
        <v>290727.87</v>
      </c>
      <c r="H608" s="206">
        <v>396685.21</v>
      </c>
      <c r="J608" s="390">
        <v>44958</v>
      </c>
      <c r="K608" s="206">
        <v>390206.58</v>
      </c>
      <c r="L608" s="190"/>
    </row>
    <row r="609" spans="1:12" x14ac:dyDescent="0.2">
      <c r="A609" s="416">
        <v>43217</v>
      </c>
      <c r="B609" s="403">
        <v>216053.77</v>
      </c>
      <c r="C609" s="416"/>
      <c r="D609" s="403"/>
      <c r="F609" s="390">
        <v>44896</v>
      </c>
      <c r="G609" s="160">
        <v>362006.45</v>
      </c>
      <c r="H609" s="206">
        <v>385734.14</v>
      </c>
      <c r="J609" s="390">
        <v>44986</v>
      </c>
      <c r="K609" s="206">
        <v>396440.66</v>
      </c>
      <c r="L609" s="190"/>
    </row>
    <row r="610" spans="1:12" x14ac:dyDescent="0.2">
      <c r="A610" s="416">
        <v>43220</v>
      </c>
      <c r="B610" s="403">
        <v>179849.52</v>
      </c>
      <c r="C610" s="416"/>
      <c r="F610" s="390">
        <v>44927</v>
      </c>
      <c r="G610" s="160">
        <v>494072.83</v>
      </c>
      <c r="H610" s="206">
        <v>402326.67</v>
      </c>
      <c r="J610" s="390">
        <v>45017</v>
      </c>
      <c r="K610" s="206">
        <v>401182.89</v>
      </c>
      <c r="L610" s="190"/>
    </row>
    <row r="611" spans="1:12" x14ac:dyDescent="0.2">
      <c r="A611" s="416">
        <v>43221</v>
      </c>
      <c r="B611" s="403">
        <v>179850</v>
      </c>
      <c r="C611" s="416"/>
      <c r="F611" s="390">
        <v>44958</v>
      </c>
      <c r="G611" s="160">
        <v>399857.44</v>
      </c>
      <c r="H611" s="206">
        <v>390206.58</v>
      </c>
      <c r="J611" s="390">
        <v>45047</v>
      </c>
      <c r="K611" s="206">
        <v>393246.23</v>
      </c>
      <c r="L611" s="190"/>
    </row>
    <row r="612" spans="1:12" x14ac:dyDescent="0.2">
      <c r="A612" s="416">
        <v>43222</v>
      </c>
      <c r="B612" s="403">
        <v>173749.01</v>
      </c>
      <c r="C612" s="416"/>
      <c r="F612" s="390">
        <v>44986</v>
      </c>
      <c r="G612" s="160">
        <v>279188.34999999998</v>
      </c>
      <c r="H612" s="206">
        <v>396440.66</v>
      </c>
      <c r="J612" s="390">
        <v>45078</v>
      </c>
      <c r="K612" s="206">
        <v>408061</v>
      </c>
      <c r="L612" s="190"/>
    </row>
    <row r="613" spans="1:12" x14ac:dyDescent="0.2">
      <c r="A613" s="416">
        <v>43223</v>
      </c>
      <c r="B613" s="403">
        <v>200792.85</v>
      </c>
      <c r="C613" s="416"/>
      <c r="F613" s="390">
        <v>45017</v>
      </c>
      <c r="G613" s="160">
        <v>302008.53000000003</v>
      </c>
      <c r="H613" s="206">
        <v>401182.89</v>
      </c>
      <c r="J613" s="390">
        <v>45108</v>
      </c>
      <c r="K613" s="206">
        <v>417521.72</v>
      </c>
    </row>
    <row r="614" spans="1:12" x14ac:dyDescent="0.2">
      <c r="A614" s="416">
        <v>43224</v>
      </c>
      <c r="B614" s="403">
        <v>202331.91</v>
      </c>
      <c r="C614" s="416"/>
      <c r="F614" s="390">
        <v>45047</v>
      </c>
      <c r="G614" s="160">
        <v>222544.3</v>
      </c>
      <c r="H614" s="206">
        <v>393246.23</v>
      </c>
      <c r="J614" s="390">
        <v>45139</v>
      </c>
      <c r="K614" s="206">
        <v>410999.58</v>
      </c>
    </row>
    <row r="615" spans="1:12" x14ac:dyDescent="0.2">
      <c r="A615" s="416">
        <v>43227</v>
      </c>
      <c r="B615" s="403">
        <v>203517.87</v>
      </c>
      <c r="C615" s="416"/>
      <c r="F615" s="390">
        <v>45078</v>
      </c>
      <c r="G615" s="160">
        <v>303528.63</v>
      </c>
      <c r="H615" s="206">
        <v>408061</v>
      </c>
      <c r="J615" s="390">
        <v>45170</v>
      </c>
      <c r="K615" s="206">
        <v>396973.48</v>
      </c>
      <c r="L615" s="190"/>
    </row>
    <row r="616" spans="1:12" x14ac:dyDescent="0.2">
      <c r="A616" s="416">
        <v>43228</v>
      </c>
      <c r="B616" s="403">
        <v>203518</v>
      </c>
      <c r="C616" s="416"/>
      <c r="F616" s="390">
        <v>45108</v>
      </c>
      <c r="G616" s="160">
        <v>279453.21999999997</v>
      </c>
      <c r="H616" s="206">
        <v>417521.72</v>
      </c>
      <c r="J616" s="390">
        <v>45200</v>
      </c>
      <c r="K616" s="206">
        <v>389315.86</v>
      </c>
      <c r="L616" s="190"/>
    </row>
    <row r="617" spans="1:12" x14ac:dyDescent="0.2">
      <c r="A617" s="416">
        <v>43229</v>
      </c>
      <c r="B617" s="403">
        <v>203518</v>
      </c>
      <c r="C617" s="416"/>
      <c r="F617" s="390">
        <v>45139</v>
      </c>
      <c r="G617" s="160">
        <v>235427.62</v>
      </c>
      <c r="H617" s="206">
        <v>410999.58</v>
      </c>
      <c r="J617" s="390">
        <v>45231</v>
      </c>
      <c r="K617" s="206">
        <v>415432.2</v>
      </c>
      <c r="L617" s="190"/>
    </row>
    <row r="618" spans="1:12" x14ac:dyDescent="0.2">
      <c r="A618" s="416">
        <v>43230</v>
      </c>
      <c r="B618" s="403">
        <v>191114.58</v>
      </c>
      <c r="C618" s="416"/>
      <c r="F618" s="390">
        <v>45170</v>
      </c>
      <c r="G618" s="160">
        <v>301323.59999999998</v>
      </c>
      <c r="H618" s="206">
        <v>396973.48</v>
      </c>
      <c r="J618" s="390">
        <v>45261</v>
      </c>
      <c r="K618" s="206">
        <v>434275.6</v>
      </c>
      <c r="L618" s="190"/>
    </row>
    <row r="619" spans="1:12" x14ac:dyDescent="0.2">
      <c r="A619" s="416">
        <v>43231</v>
      </c>
      <c r="B619" s="444">
        <v>153114.57999999999</v>
      </c>
      <c r="C619" s="416"/>
      <c r="D619" s="403"/>
      <c r="F619" s="390">
        <v>45200</v>
      </c>
      <c r="G619" s="160">
        <v>355947.69</v>
      </c>
      <c r="H619" s="206">
        <v>389315.86</v>
      </c>
      <c r="J619" s="390">
        <v>45292</v>
      </c>
      <c r="K619" s="206">
        <v>437155.38</v>
      </c>
      <c r="L619" s="190"/>
    </row>
    <row r="620" spans="1:12" x14ac:dyDescent="0.2">
      <c r="A620" s="416">
        <v>43234</v>
      </c>
      <c r="B620" s="444">
        <v>153115</v>
      </c>
      <c r="C620" s="416"/>
      <c r="D620" s="403"/>
      <c r="F620" s="390">
        <v>45231</v>
      </c>
      <c r="G620" s="160">
        <v>269865.12</v>
      </c>
      <c r="H620" s="206">
        <v>415432.2</v>
      </c>
      <c r="J620" s="390">
        <v>45323</v>
      </c>
      <c r="K620" s="206">
        <v>449092.16</v>
      </c>
      <c r="L620" s="190"/>
    </row>
    <row r="621" spans="1:12" x14ac:dyDescent="0.2">
      <c r="A621" s="416">
        <v>43235</v>
      </c>
      <c r="B621" s="403">
        <v>182792.08</v>
      </c>
      <c r="C621" s="416"/>
      <c r="D621" s="403"/>
      <c r="F621" s="390">
        <v>45261</v>
      </c>
      <c r="G621" s="160">
        <v>266721.90000000002</v>
      </c>
      <c r="H621" s="206">
        <v>434275.6</v>
      </c>
      <c r="J621" s="390">
        <v>45352</v>
      </c>
      <c r="K621" s="206">
        <v>465124.12</v>
      </c>
      <c r="L621" s="190"/>
    </row>
    <row r="622" spans="1:12" x14ac:dyDescent="0.2">
      <c r="A622" s="416">
        <v>43236</v>
      </c>
      <c r="B622" s="403">
        <v>182792</v>
      </c>
      <c r="C622" s="416"/>
      <c r="D622" s="403"/>
      <c r="F622" s="390">
        <v>45292</v>
      </c>
      <c r="G622" s="160">
        <v>413322.14</v>
      </c>
      <c r="H622" s="206">
        <v>437155.38</v>
      </c>
      <c r="J622" s="390">
        <v>45383</v>
      </c>
      <c r="K622" s="206">
        <v>451645.99</v>
      </c>
      <c r="L622" s="190"/>
    </row>
    <row r="623" spans="1:12" x14ac:dyDescent="0.2">
      <c r="A623" s="416">
        <v>43237</v>
      </c>
      <c r="B623" s="403">
        <v>222152.66</v>
      </c>
      <c r="C623" s="416"/>
      <c r="D623" s="403"/>
      <c r="F623" s="390">
        <v>45323</v>
      </c>
      <c r="G623" s="160">
        <v>390662.21</v>
      </c>
      <c r="H623" s="206">
        <v>449092.16</v>
      </c>
      <c r="L623" s="190"/>
    </row>
    <row r="624" spans="1:12" x14ac:dyDescent="0.2">
      <c r="A624" s="416">
        <v>43238</v>
      </c>
      <c r="B624" s="403">
        <v>222153</v>
      </c>
      <c r="C624" s="416"/>
      <c r="D624" s="403"/>
      <c r="F624" s="390">
        <v>45352</v>
      </c>
      <c r="G624" s="160">
        <v>280467.3</v>
      </c>
      <c r="H624" s="206">
        <v>465124.12</v>
      </c>
      <c r="L624" s="190"/>
    </row>
    <row r="625" spans="1:12" x14ac:dyDescent="0.2">
      <c r="A625" s="416">
        <v>43241</v>
      </c>
      <c r="B625" s="403">
        <v>222153</v>
      </c>
      <c r="C625" s="416"/>
      <c r="D625" s="403"/>
      <c r="F625" s="390">
        <v>45383</v>
      </c>
      <c r="G625" s="160">
        <v>318657.40000000002</v>
      </c>
      <c r="H625" s="206">
        <v>451645.99</v>
      </c>
      <c r="L625" s="190"/>
    </row>
    <row r="626" spans="1:12" x14ac:dyDescent="0.2">
      <c r="A626" s="416">
        <v>43242</v>
      </c>
      <c r="B626" s="403">
        <v>222153</v>
      </c>
      <c r="C626" s="416"/>
      <c r="D626" s="403"/>
      <c r="L626" s="190"/>
    </row>
    <row r="627" spans="1:12" x14ac:dyDescent="0.2">
      <c r="A627" s="416">
        <v>43243</v>
      </c>
      <c r="B627" s="403">
        <v>222152</v>
      </c>
      <c r="C627" s="416"/>
      <c r="D627" s="403"/>
      <c r="F627" t="s">
        <v>390</v>
      </c>
      <c r="L627" s="190"/>
    </row>
    <row r="628" spans="1:12" x14ac:dyDescent="0.2">
      <c r="A628" s="416">
        <v>43244</v>
      </c>
      <c r="B628" s="403">
        <v>211720.43</v>
      </c>
      <c r="C628" s="416"/>
      <c r="D628" s="403"/>
      <c r="F628" t="s">
        <v>356</v>
      </c>
      <c r="G628">
        <v>50000</v>
      </c>
    </row>
    <row r="629" spans="1:12" x14ac:dyDescent="0.2">
      <c r="A629" s="416">
        <v>43245</v>
      </c>
      <c r="B629" s="403">
        <v>211720</v>
      </c>
      <c r="C629" s="416"/>
      <c r="D629" s="403"/>
      <c r="F629" t="s">
        <v>70</v>
      </c>
      <c r="G629" s="258">
        <v>158720.91</v>
      </c>
      <c r="H629" t="s">
        <v>349</v>
      </c>
    </row>
    <row r="630" spans="1:12" x14ac:dyDescent="0.2">
      <c r="A630" s="416">
        <v>43248</v>
      </c>
      <c r="B630" s="403">
        <v>211720</v>
      </c>
      <c r="C630" s="416"/>
      <c r="D630" s="403"/>
      <c r="F630" t="s">
        <v>346</v>
      </c>
      <c r="G630" s="258">
        <v>820788.58</v>
      </c>
    </row>
    <row r="631" spans="1:12" x14ac:dyDescent="0.2">
      <c r="A631" s="416">
        <v>43249</v>
      </c>
      <c r="B631" s="403">
        <v>176327.95</v>
      </c>
      <c r="C631" s="416"/>
      <c r="D631" s="403"/>
      <c r="F631" t="s">
        <v>323</v>
      </c>
      <c r="G631" s="258"/>
    </row>
    <row r="632" spans="1:12" x14ac:dyDescent="0.2">
      <c r="A632" s="416">
        <v>43250</v>
      </c>
      <c r="B632" s="403">
        <v>176328</v>
      </c>
      <c r="C632" s="416"/>
      <c r="D632" s="403"/>
      <c r="F632" t="s">
        <v>347</v>
      </c>
      <c r="G632" s="258">
        <v>248821.26</v>
      </c>
    </row>
    <row r="633" spans="1:12" x14ac:dyDescent="0.2">
      <c r="A633" s="416">
        <v>43251</v>
      </c>
      <c r="B633" s="403">
        <v>169004.5</v>
      </c>
      <c r="C633" s="416"/>
      <c r="D633" s="403"/>
      <c r="F633" t="s">
        <v>348</v>
      </c>
      <c r="G633" s="258">
        <v>2000</v>
      </c>
    </row>
    <row r="634" spans="1:12" x14ac:dyDescent="0.2">
      <c r="A634" s="416">
        <v>43252</v>
      </c>
      <c r="B634" s="403">
        <v>261992.26</v>
      </c>
      <c r="C634" s="416"/>
      <c r="D634" s="403"/>
      <c r="F634" t="s">
        <v>354</v>
      </c>
      <c r="G634" s="258">
        <f>51000+19000</f>
        <v>70000</v>
      </c>
    </row>
    <row r="635" spans="1:12" x14ac:dyDescent="0.2">
      <c r="A635" s="416">
        <v>43255</v>
      </c>
      <c r="B635" s="403">
        <v>270521.09000000003</v>
      </c>
      <c r="C635" s="416"/>
      <c r="D635" s="403"/>
      <c r="E635" t="s">
        <v>350</v>
      </c>
      <c r="G635" s="258">
        <f>SUM(G628:G634)</f>
        <v>1350330.75</v>
      </c>
    </row>
    <row r="636" spans="1:12" x14ac:dyDescent="0.2">
      <c r="A636" s="416">
        <v>43256</v>
      </c>
      <c r="B636" s="403">
        <v>285365.09000000003</v>
      </c>
      <c r="C636" s="416"/>
      <c r="D636" s="403"/>
      <c r="G636" s="258"/>
    </row>
    <row r="637" spans="1:12" x14ac:dyDescent="0.2">
      <c r="A637" s="416">
        <v>43257</v>
      </c>
      <c r="B637" s="403">
        <v>285365</v>
      </c>
      <c r="C637" s="416"/>
      <c r="D637" s="403"/>
      <c r="E637" t="s">
        <v>351</v>
      </c>
      <c r="G637" s="258">
        <f>AVERAGE(G561:G573)</f>
        <v>264939.10923076922</v>
      </c>
    </row>
    <row r="638" spans="1:12" x14ac:dyDescent="0.2">
      <c r="A638" s="416">
        <v>43258</v>
      </c>
      <c r="B638" s="403">
        <v>287246.65999999997</v>
      </c>
      <c r="C638" s="416"/>
      <c r="D638" s="403"/>
      <c r="G638" s="258"/>
    </row>
    <row r="639" spans="1:12" x14ac:dyDescent="0.2">
      <c r="A639" s="416">
        <v>43259</v>
      </c>
      <c r="B639" s="403">
        <v>287247</v>
      </c>
      <c r="C639" s="416"/>
      <c r="D639" s="403"/>
      <c r="E639" t="s">
        <v>352</v>
      </c>
      <c r="G639" s="21">
        <f>G635/G637</f>
        <v>5.0967588511963511</v>
      </c>
    </row>
    <row r="640" spans="1:12" x14ac:dyDescent="0.2">
      <c r="A640" s="416">
        <v>43262</v>
      </c>
      <c r="B640" s="403">
        <v>287247</v>
      </c>
      <c r="C640" s="416"/>
      <c r="D640" s="403"/>
      <c r="G640" s="258"/>
    </row>
    <row r="641" spans="1:7" x14ac:dyDescent="0.2">
      <c r="A641" s="416">
        <v>43263</v>
      </c>
      <c r="B641" s="403">
        <v>253042.79</v>
      </c>
      <c r="C641" s="416"/>
      <c r="D641" s="403"/>
      <c r="E641" t="s">
        <v>353</v>
      </c>
      <c r="G641" s="258">
        <v>365</v>
      </c>
    </row>
    <row r="642" spans="1:7" x14ac:dyDescent="0.2">
      <c r="A642" s="416">
        <v>43264</v>
      </c>
      <c r="B642" s="403">
        <v>253043</v>
      </c>
      <c r="C642" s="416"/>
      <c r="D642" s="403"/>
      <c r="G642" s="258">
        <f>G641/G639</f>
        <v>71.614139624111189</v>
      </c>
    </row>
    <row r="643" spans="1:7" x14ac:dyDescent="0.2">
      <c r="A643" s="416">
        <v>43265</v>
      </c>
      <c r="B643" s="403">
        <v>246521.36</v>
      </c>
      <c r="C643" s="416"/>
      <c r="D643" s="403"/>
    </row>
    <row r="644" spans="1:7" x14ac:dyDescent="0.2">
      <c r="A644" s="416">
        <v>43266</v>
      </c>
      <c r="B644" s="403">
        <v>246593.56</v>
      </c>
      <c r="C644" s="416"/>
      <c r="D644" s="403"/>
    </row>
    <row r="645" spans="1:7" x14ac:dyDescent="0.2">
      <c r="A645" s="416">
        <v>43269</v>
      </c>
      <c r="B645" s="403">
        <v>246594</v>
      </c>
      <c r="C645" s="416"/>
      <c r="D645" s="403"/>
    </row>
    <row r="646" spans="1:7" x14ac:dyDescent="0.2">
      <c r="A646" s="416">
        <v>43270</v>
      </c>
      <c r="B646" s="403">
        <v>246594</v>
      </c>
      <c r="C646" s="416"/>
      <c r="D646" s="403"/>
    </row>
    <row r="647" spans="1:7" x14ac:dyDescent="0.2">
      <c r="A647" s="416">
        <v>43271</v>
      </c>
      <c r="B647" s="403">
        <v>246594</v>
      </c>
      <c r="C647" s="416"/>
      <c r="D647" s="403"/>
    </row>
    <row r="648" spans="1:7" x14ac:dyDescent="0.2">
      <c r="A648" s="416">
        <v>43272</v>
      </c>
      <c r="B648" s="403">
        <v>228395.48</v>
      </c>
      <c r="C648" s="416"/>
      <c r="D648" s="403"/>
    </row>
    <row r="649" spans="1:7" x14ac:dyDescent="0.2">
      <c r="A649" s="416">
        <v>43273</v>
      </c>
      <c r="B649" s="403">
        <v>228395</v>
      </c>
      <c r="C649" s="416"/>
      <c r="D649" s="403"/>
    </row>
    <row r="650" spans="1:7" x14ac:dyDescent="0.2">
      <c r="A650" s="416">
        <v>43276</v>
      </c>
      <c r="B650" s="403">
        <v>192627.9</v>
      </c>
      <c r="C650" s="416"/>
      <c r="D650" s="403"/>
    </row>
    <row r="651" spans="1:7" x14ac:dyDescent="0.2">
      <c r="A651" s="416">
        <v>43277</v>
      </c>
      <c r="B651" s="403">
        <v>192628</v>
      </c>
      <c r="C651" s="416"/>
      <c r="D651" s="403"/>
    </row>
    <row r="652" spans="1:7" x14ac:dyDescent="0.2">
      <c r="A652" s="416">
        <v>43278</v>
      </c>
      <c r="B652" s="403">
        <v>192628</v>
      </c>
      <c r="C652" s="416"/>
      <c r="D652" s="403"/>
    </row>
    <row r="653" spans="1:7" x14ac:dyDescent="0.2">
      <c r="A653" s="416">
        <v>43279</v>
      </c>
      <c r="B653" s="403">
        <v>193904.61</v>
      </c>
      <c r="C653" s="416"/>
      <c r="D653" s="403"/>
    </row>
    <row r="654" spans="1:7" x14ac:dyDescent="0.2">
      <c r="A654" s="416">
        <v>43280</v>
      </c>
      <c r="B654" s="403">
        <v>195328.48</v>
      </c>
      <c r="C654" s="416"/>
      <c r="D654" s="403"/>
    </row>
    <row r="655" spans="1:7" x14ac:dyDescent="0.2">
      <c r="A655" s="416">
        <v>43283</v>
      </c>
      <c r="B655" s="403">
        <v>199304.09</v>
      </c>
      <c r="C655" s="416"/>
      <c r="D655" s="403"/>
    </row>
    <row r="656" spans="1:7" x14ac:dyDescent="0.2">
      <c r="A656" s="416">
        <v>43284</v>
      </c>
      <c r="B656" s="403">
        <v>201071.11</v>
      </c>
      <c r="C656" s="416"/>
      <c r="D656" s="403"/>
    </row>
    <row r="657" spans="1:4" x14ac:dyDescent="0.2">
      <c r="A657" s="416">
        <v>43285</v>
      </c>
      <c r="B657" s="403">
        <v>201071</v>
      </c>
      <c r="C657" s="416"/>
      <c r="D657" s="403"/>
    </row>
    <row r="658" spans="1:4" x14ac:dyDescent="0.2">
      <c r="A658" s="416">
        <v>43286</v>
      </c>
      <c r="B658" s="403">
        <v>223298.16</v>
      </c>
      <c r="C658" s="416"/>
      <c r="D658" s="403"/>
    </row>
    <row r="659" spans="1:4" x14ac:dyDescent="0.2">
      <c r="A659" s="416">
        <v>43287</v>
      </c>
      <c r="B659" s="403">
        <v>238962.66</v>
      </c>
      <c r="C659" s="416"/>
      <c r="D659" s="403"/>
    </row>
    <row r="660" spans="1:4" x14ac:dyDescent="0.2">
      <c r="A660" s="416">
        <v>43290</v>
      </c>
      <c r="B660" s="403">
        <v>203086.22</v>
      </c>
      <c r="C660" s="416"/>
      <c r="D660" s="403"/>
    </row>
    <row r="661" spans="1:4" x14ac:dyDescent="0.2">
      <c r="A661" s="416">
        <v>43291</v>
      </c>
      <c r="B661" s="403">
        <v>226930.31</v>
      </c>
      <c r="C661" s="416"/>
      <c r="D661" s="403"/>
    </row>
    <row r="662" spans="1:4" x14ac:dyDescent="0.2">
      <c r="A662" s="416">
        <v>43292</v>
      </c>
      <c r="B662" s="403">
        <v>226930</v>
      </c>
      <c r="C662" s="416"/>
      <c r="D662" s="403"/>
    </row>
    <row r="663" spans="1:4" x14ac:dyDescent="0.2">
      <c r="A663" s="416">
        <v>43293</v>
      </c>
      <c r="B663" s="403">
        <v>220822.05</v>
      </c>
      <c r="C663" s="416"/>
      <c r="D663" s="403"/>
    </row>
    <row r="664" spans="1:4" x14ac:dyDescent="0.2">
      <c r="A664" s="416">
        <v>43294</v>
      </c>
      <c r="B664" s="403">
        <v>220986.35</v>
      </c>
      <c r="C664" s="416"/>
      <c r="D664" s="403"/>
    </row>
    <row r="665" spans="1:4" x14ac:dyDescent="0.2">
      <c r="A665" s="416">
        <v>43297</v>
      </c>
      <c r="B665" s="403">
        <v>220986</v>
      </c>
      <c r="C665" s="416"/>
      <c r="D665" s="403"/>
    </row>
    <row r="666" spans="1:4" x14ac:dyDescent="0.2">
      <c r="A666" s="416">
        <v>43298</v>
      </c>
      <c r="B666" s="403">
        <v>220986</v>
      </c>
      <c r="C666" s="416"/>
      <c r="D666" s="403"/>
    </row>
    <row r="667" spans="1:4" x14ac:dyDescent="0.2">
      <c r="A667" s="416">
        <v>43299</v>
      </c>
      <c r="B667" s="403">
        <v>197995.27</v>
      </c>
      <c r="C667" s="416"/>
      <c r="D667" s="403"/>
    </row>
    <row r="668" spans="1:4" x14ac:dyDescent="0.2">
      <c r="A668" s="416">
        <v>43300</v>
      </c>
      <c r="B668" s="403">
        <v>202931.61</v>
      </c>
      <c r="C668" s="416"/>
      <c r="D668" s="403"/>
    </row>
    <row r="669" spans="1:4" x14ac:dyDescent="0.2">
      <c r="A669" s="416">
        <v>43301</v>
      </c>
      <c r="B669" s="403">
        <v>202932</v>
      </c>
      <c r="C669" s="416"/>
      <c r="D669" s="403"/>
    </row>
    <row r="670" spans="1:4" x14ac:dyDescent="0.2">
      <c r="A670" s="416">
        <v>43304</v>
      </c>
      <c r="B670" s="403">
        <v>167839.6</v>
      </c>
      <c r="C670" s="416"/>
      <c r="D670" s="403"/>
    </row>
    <row r="671" spans="1:4" x14ac:dyDescent="0.2">
      <c r="A671" s="416">
        <v>43305</v>
      </c>
      <c r="B671" s="403">
        <v>167840</v>
      </c>
      <c r="C671" s="416"/>
      <c r="D671" s="403"/>
    </row>
    <row r="672" spans="1:4" x14ac:dyDescent="0.2">
      <c r="A672" s="416">
        <v>43306</v>
      </c>
      <c r="B672" s="403">
        <v>167840</v>
      </c>
      <c r="C672" s="416"/>
      <c r="D672" s="403"/>
    </row>
    <row r="673" spans="1:4" x14ac:dyDescent="0.2">
      <c r="A673" s="416">
        <v>43307</v>
      </c>
      <c r="B673" s="403">
        <v>180485.58</v>
      </c>
      <c r="C673" s="416"/>
      <c r="D673" s="403"/>
    </row>
    <row r="674" spans="1:4" x14ac:dyDescent="0.2">
      <c r="A674" s="416">
        <v>43308</v>
      </c>
      <c r="B674" s="403">
        <v>205676.09</v>
      </c>
      <c r="C674" s="416"/>
      <c r="D674" s="403"/>
    </row>
    <row r="675" spans="1:4" x14ac:dyDescent="0.2">
      <c r="A675" s="416">
        <v>43311</v>
      </c>
      <c r="B675" s="403">
        <v>199229.46</v>
      </c>
      <c r="C675" s="416"/>
      <c r="D675" s="403"/>
    </row>
    <row r="676" spans="1:4" x14ac:dyDescent="0.2">
      <c r="A676" s="416">
        <v>43312</v>
      </c>
      <c r="B676" s="403">
        <v>199612.46</v>
      </c>
      <c r="C676" s="416"/>
      <c r="D676" s="403"/>
    </row>
    <row r="677" spans="1:4" x14ac:dyDescent="0.2">
      <c r="A677" s="416">
        <v>43313</v>
      </c>
      <c r="B677" s="403">
        <v>327321.84000000003</v>
      </c>
      <c r="C677" s="416"/>
      <c r="D677" s="403"/>
    </row>
    <row r="678" spans="1:4" x14ac:dyDescent="0.2">
      <c r="A678" s="416">
        <v>43314</v>
      </c>
      <c r="B678" s="403">
        <v>328551.67</v>
      </c>
      <c r="C678" s="416"/>
      <c r="D678" s="403"/>
    </row>
    <row r="679" spans="1:4" x14ac:dyDescent="0.2">
      <c r="A679" s="416">
        <v>43315</v>
      </c>
      <c r="B679" s="403">
        <v>328552</v>
      </c>
      <c r="C679" s="416"/>
      <c r="D679" s="403"/>
    </row>
    <row r="680" spans="1:4" x14ac:dyDescent="0.2">
      <c r="A680" s="416">
        <v>43318</v>
      </c>
      <c r="B680" s="403">
        <v>293600.95</v>
      </c>
      <c r="C680" s="416"/>
      <c r="D680" s="403"/>
    </row>
    <row r="681" spans="1:4" x14ac:dyDescent="0.2">
      <c r="A681" s="416">
        <v>43319</v>
      </c>
      <c r="B681" s="403">
        <v>298153.56</v>
      </c>
      <c r="C681" s="416"/>
      <c r="D681" s="403"/>
    </row>
    <row r="682" spans="1:4" x14ac:dyDescent="0.2">
      <c r="A682" s="416">
        <v>43320</v>
      </c>
      <c r="B682" s="403">
        <v>298154</v>
      </c>
      <c r="C682" s="416"/>
      <c r="D682" s="403"/>
    </row>
    <row r="683" spans="1:4" x14ac:dyDescent="0.2">
      <c r="A683" s="416">
        <v>43321</v>
      </c>
      <c r="B683" s="403">
        <v>294180.65999999997</v>
      </c>
      <c r="C683" s="416"/>
      <c r="D683" s="403"/>
    </row>
    <row r="684" spans="1:4" x14ac:dyDescent="0.2">
      <c r="A684" s="416">
        <v>43322</v>
      </c>
      <c r="B684" s="403">
        <v>294181</v>
      </c>
      <c r="C684" s="416"/>
      <c r="D684" s="403"/>
    </row>
    <row r="685" spans="1:4" x14ac:dyDescent="0.2">
      <c r="A685" s="416">
        <v>43325</v>
      </c>
      <c r="B685" s="403">
        <v>294679.65999999997</v>
      </c>
      <c r="C685" s="416"/>
      <c r="D685" s="403"/>
    </row>
    <row r="686" spans="1:4" x14ac:dyDescent="0.2">
      <c r="A686" s="416">
        <v>43326</v>
      </c>
      <c r="B686" s="403">
        <v>294680</v>
      </c>
      <c r="C686" s="416"/>
      <c r="D686" s="403"/>
    </row>
    <row r="687" spans="1:4" x14ac:dyDescent="0.2">
      <c r="A687" s="416">
        <v>43327</v>
      </c>
      <c r="B687" s="403">
        <v>294761.65000000002</v>
      </c>
      <c r="C687" s="416"/>
      <c r="D687" s="403"/>
    </row>
    <row r="688" spans="1:4" x14ac:dyDescent="0.2">
      <c r="A688" s="416">
        <v>43328</v>
      </c>
      <c r="B688" s="403">
        <v>290632.52</v>
      </c>
      <c r="C688" s="416"/>
      <c r="D688" s="403"/>
    </row>
    <row r="689" spans="1:4" x14ac:dyDescent="0.2">
      <c r="A689" s="416">
        <v>43329</v>
      </c>
      <c r="B689" s="403">
        <v>290633</v>
      </c>
      <c r="C689" s="416"/>
      <c r="D689" s="403"/>
    </row>
    <row r="690" spans="1:4" x14ac:dyDescent="0.2">
      <c r="A690" s="416">
        <v>43332</v>
      </c>
      <c r="B690" s="403">
        <v>254427.11</v>
      </c>
      <c r="C690" s="416"/>
      <c r="D690" s="403"/>
    </row>
    <row r="691" spans="1:4" x14ac:dyDescent="0.2">
      <c r="A691" s="416">
        <v>43333</v>
      </c>
      <c r="B691" s="403">
        <v>255823.93</v>
      </c>
      <c r="C691" s="416"/>
      <c r="D691" s="403"/>
    </row>
    <row r="692" spans="1:4" x14ac:dyDescent="0.2">
      <c r="A692" s="416">
        <v>43334</v>
      </c>
      <c r="B692" s="403">
        <v>255419.13</v>
      </c>
      <c r="C692" s="416"/>
      <c r="D692" s="403"/>
    </row>
    <row r="693" spans="1:4" x14ac:dyDescent="0.2">
      <c r="A693" s="416">
        <v>43335</v>
      </c>
      <c r="B693" s="403">
        <v>272759.37</v>
      </c>
      <c r="C693" s="416"/>
      <c r="D693" s="403"/>
    </row>
    <row r="694" spans="1:4" x14ac:dyDescent="0.2">
      <c r="A694" s="416">
        <v>43336</v>
      </c>
      <c r="B694" s="403">
        <v>272846.37</v>
      </c>
      <c r="C694" s="416"/>
      <c r="D694" s="403"/>
    </row>
    <row r="695" spans="1:4" x14ac:dyDescent="0.2">
      <c r="A695" s="416">
        <v>43339</v>
      </c>
      <c r="B695" s="403">
        <v>272846</v>
      </c>
      <c r="C695" s="416"/>
      <c r="D695" s="403"/>
    </row>
    <row r="696" spans="1:4" x14ac:dyDescent="0.2">
      <c r="A696" s="416">
        <v>43340</v>
      </c>
      <c r="B696" s="403">
        <v>272846</v>
      </c>
      <c r="C696" s="416"/>
      <c r="D696" s="403"/>
    </row>
    <row r="697" spans="1:4" x14ac:dyDescent="0.2">
      <c r="A697" s="416">
        <v>43341</v>
      </c>
      <c r="B697" s="403">
        <v>276622.58</v>
      </c>
      <c r="C697" s="416"/>
      <c r="D697" s="403"/>
    </row>
    <row r="698" spans="1:4" x14ac:dyDescent="0.2">
      <c r="A698" s="416">
        <v>43342</v>
      </c>
      <c r="B698" s="403">
        <v>276623</v>
      </c>
      <c r="C698" s="416"/>
      <c r="D698" s="403"/>
    </row>
    <row r="699" spans="1:4" x14ac:dyDescent="0.2">
      <c r="A699" s="416">
        <v>43343</v>
      </c>
      <c r="B699" s="403">
        <v>276773.33</v>
      </c>
      <c r="C699" s="416"/>
      <c r="D699" s="403"/>
    </row>
    <row r="700" spans="1:4" x14ac:dyDescent="0.2">
      <c r="A700" s="416">
        <v>43346</v>
      </c>
      <c r="B700" s="403">
        <v>276773</v>
      </c>
      <c r="C700" s="416"/>
      <c r="D700" s="403"/>
    </row>
    <row r="701" spans="1:4" x14ac:dyDescent="0.2">
      <c r="A701" s="416">
        <v>43347</v>
      </c>
      <c r="B701" s="403">
        <v>240090.56</v>
      </c>
      <c r="C701" s="416"/>
      <c r="D701" s="403"/>
    </row>
    <row r="702" spans="1:4" x14ac:dyDescent="0.2">
      <c r="A702" s="416">
        <v>43348</v>
      </c>
      <c r="B702" s="403">
        <v>240091</v>
      </c>
      <c r="C702" s="416"/>
      <c r="D702" s="403"/>
    </row>
    <row r="703" spans="1:4" x14ac:dyDescent="0.2">
      <c r="A703" s="416">
        <v>43349</v>
      </c>
      <c r="B703" s="403">
        <v>237779.31</v>
      </c>
      <c r="C703" s="416"/>
      <c r="D703" s="403"/>
    </row>
    <row r="704" spans="1:4" x14ac:dyDescent="0.2">
      <c r="A704" s="416">
        <v>43350</v>
      </c>
      <c r="B704" s="403">
        <v>237779</v>
      </c>
      <c r="C704" s="416"/>
      <c r="D704" s="403"/>
    </row>
    <row r="705" spans="1:4" x14ac:dyDescent="0.2">
      <c r="A705" s="416">
        <v>43353</v>
      </c>
      <c r="B705" s="403">
        <v>243552.34</v>
      </c>
      <c r="C705" s="416"/>
      <c r="D705" s="403"/>
    </row>
    <row r="706" spans="1:4" x14ac:dyDescent="0.2">
      <c r="A706" s="416">
        <v>43354</v>
      </c>
      <c r="B706" s="403">
        <v>243552</v>
      </c>
      <c r="C706" s="416"/>
      <c r="D706" s="403"/>
    </row>
    <row r="707" spans="1:4" x14ac:dyDescent="0.2">
      <c r="A707" s="416">
        <v>43355</v>
      </c>
      <c r="B707" s="403">
        <v>243552</v>
      </c>
      <c r="C707" s="416"/>
      <c r="D707" s="403"/>
    </row>
    <row r="708" spans="1:4" x14ac:dyDescent="0.2">
      <c r="A708" s="416">
        <v>43356</v>
      </c>
      <c r="B708" s="403">
        <v>266009.96000000002</v>
      </c>
      <c r="C708" s="416"/>
      <c r="D708" s="403"/>
    </row>
    <row r="709" spans="1:4" x14ac:dyDescent="0.2">
      <c r="A709" s="416">
        <v>43357</v>
      </c>
      <c r="B709" s="403">
        <v>266087.59999999998</v>
      </c>
      <c r="C709" s="416"/>
      <c r="D709" s="403"/>
    </row>
    <row r="710" spans="1:4" x14ac:dyDescent="0.2">
      <c r="A710" s="416">
        <v>43360</v>
      </c>
      <c r="B710" s="403">
        <v>229939.6</v>
      </c>
      <c r="C710" s="416"/>
      <c r="D710" s="403"/>
    </row>
    <row r="711" spans="1:4" x14ac:dyDescent="0.2">
      <c r="A711" s="416">
        <v>43361</v>
      </c>
      <c r="B711" s="403">
        <v>229940</v>
      </c>
      <c r="C711" s="416"/>
      <c r="D711" s="403"/>
    </row>
    <row r="712" spans="1:4" x14ac:dyDescent="0.2">
      <c r="A712" s="416">
        <v>43362</v>
      </c>
      <c r="B712" s="403">
        <v>229940</v>
      </c>
      <c r="C712" s="416"/>
      <c r="D712" s="403"/>
    </row>
    <row r="713" spans="1:4" x14ac:dyDescent="0.2">
      <c r="A713" s="416">
        <v>43363</v>
      </c>
      <c r="B713" s="403">
        <v>226983.82</v>
      </c>
      <c r="C713" s="416"/>
      <c r="D713" s="403"/>
    </row>
    <row r="714" spans="1:4" x14ac:dyDescent="0.2">
      <c r="A714" s="416">
        <v>43364</v>
      </c>
      <c r="B714" s="403">
        <v>226983.82</v>
      </c>
      <c r="C714" s="416"/>
      <c r="D714" s="403"/>
    </row>
    <row r="715" spans="1:4" x14ac:dyDescent="0.2">
      <c r="A715" s="416">
        <v>43367</v>
      </c>
      <c r="B715" s="403">
        <v>231167.41</v>
      </c>
      <c r="C715" s="416"/>
      <c r="D715" s="403"/>
    </row>
    <row r="716" spans="1:4" x14ac:dyDescent="0.2">
      <c r="A716" s="416">
        <v>43368</v>
      </c>
      <c r="B716" s="403">
        <v>231298.26</v>
      </c>
      <c r="C716" s="416"/>
      <c r="D716" s="403"/>
    </row>
    <row r="717" spans="1:4" x14ac:dyDescent="0.2">
      <c r="A717" s="416">
        <v>43369</v>
      </c>
      <c r="B717" s="403">
        <v>231298</v>
      </c>
      <c r="C717" s="416"/>
      <c r="D717" s="403"/>
    </row>
    <row r="718" spans="1:4" x14ac:dyDescent="0.2">
      <c r="A718" s="416">
        <v>43370</v>
      </c>
      <c r="B718" s="403">
        <v>218195.44</v>
      </c>
      <c r="C718" s="416"/>
      <c r="D718" s="403"/>
    </row>
    <row r="719" spans="1:4" x14ac:dyDescent="0.2">
      <c r="A719" s="416">
        <v>43371</v>
      </c>
      <c r="B719" s="403">
        <v>218195</v>
      </c>
      <c r="C719" s="416"/>
      <c r="D719" s="403"/>
    </row>
    <row r="720" spans="1:4" x14ac:dyDescent="0.2">
      <c r="A720" s="416">
        <v>43374</v>
      </c>
      <c r="B720" s="403">
        <v>181738.47</v>
      </c>
      <c r="C720" s="416"/>
      <c r="D720" s="403"/>
    </row>
    <row r="721" spans="1:4" x14ac:dyDescent="0.2">
      <c r="A721" s="416">
        <v>43375</v>
      </c>
      <c r="B721" s="403">
        <v>175674.86</v>
      </c>
      <c r="C721" s="416"/>
      <c r="D721" s="403"/>
    </row>
    <row r="722" spans="1:4" x14ac:dyDescent="0.2">
      <c r="A722" s="416">
        <v>43376</v>
      </c>
      <c r="B722" s="403">
        <v>175890.11</v>
      </c>
      <c r="C722" s="416"/>
      <c r="D722" s="403"/>
    </row>
    <row r="723" spans="1:4" x14ac:dyDescent="0.2">
      <c r="A723" s="416">
        <v>43377</v>
      </c>
      <c r="B723" s="403">
        <v>176908.84</v>
      </c>
      <c r="C723" s="416"/>
      <c r="D723" s="403"/>
    </row>
    <row r="724" spans="1:4" x14ac:dyDescent="0.2">
      <c r="A724" s="416">
        <v>43378</v>
      </c>
      <c r="B724" s="403">
        <v>176909</v>
      </c>
      <c r="C724" s="416"/>
      <c r="D724" s="403"/>
    </row>
    <row r="725" spans="1:4" x14ac:dyDescent="0.2">
      <c r="A725" s="416">
        <v>43381</v>
      </c>
      <c r="B725" s="403">
        <v>176909</v>
      </c>
      <c r="C725" s="416"/>
      <c r="D725" s="403"/>
    </row>
    <row r="726" spans="1:4" x14ac:dyDescent="0.2">
      <c r="A726" s="416">
        <v>43382</v>
      </c>
      <c r="B726" s="403">
        <v>226038.22</v>
      </c>
      <c r="C726" s="416"/>
      <c r="D726" s="403"/>
    </row>
    <row r="727" spans="1:4" x14ac:dyDescent="0.2">
      <c r="A727" s="416">
        <v>43383</v>
      </c>
      <c r="B727" s="403">
        <v>226038</v>
      </c>
      <c r="C727" s="416"/>
      <c r="D727" s="403"/>
    </row>
    <row r="728" spans="1:4" x14ac:dyDescent="0.2">
      <c r="A728" s="416">
        <v>43384</v>
      </c>
      <c r="B728" s="403">
        <v>223293.31</v>
      </c>
      <c r="C728" s="416"/>
      <c r="D728" s="403"/>
    </row>
    <row r="729" spans="1:4" x14ac:dyDescent="0.2">
      <c r="A729" s="416">
        <v>43385</v>
      </c>
      <c r="B729" s="403">
        <v>272327.27</v>
      </c>
      <c r="C729" s="416"/>
      <c r="D729" s="403"/>
    </row>
    <row r="730" spans="1:4" x14ac:dyDescent="0.2">
      <c r="A730" s="416">
        <v>43388</v>
      </c>
      <c r="B730" s="403">
        <v>236397.34</v>
      </c>
      <c r="C730" s="416"/>
      <c r="D730" s="403"/>
    </row>
    <row r="731" spans="1:4" x14ac:dyDescent="0.2">
      <c r="A731" s="416">
        <v>43389</v>
      </c>
      <c r="B731" s="403">
        <v>236553.84</v>
      </c>
      <c r="C731" s="416"/>
      <c r="D731" s="403"/>
    </row>
    <row r="732" spans="1:4" x14ac:dyDescent="0.2">
      <c r="A732" s="416">
        <v>43390</v>
      </c>
      <c r="B732" s="403">
        <v>249133.92</v>
      </c>
      <c r="C732" s="416"/>
      <c r="D732" s="403"/>
    </row>
    <row r="733" spans="1:4" x14ac:dyDescent="0.2">
      <c r="A733" s="416">
        <v>43391</v>
      </c>
      <c r="B733" s="403">
        <v>254043.68</v>
      </c>
      <c r="C733" s="416"/>
      <c r="D733" s="403"/>
    </row>
    <row r="734" spans="1:4" x14ac:dyDescent="0.2">
      <c r="A734" s="416">
        <v>43392</v>
      </c>
      <c r="B734" s="403">
        <v>254064.5</v>
      </c>
      <c r="C734" s="416"/>
      <c r="D734" s="403"/>
    </row>
    <row r="735" spans="1:4" x14ac:dyDescent="0.2">
      <c r="A735" s="416">
        <v>43395</v>
      </c>
      <c r="B735" s="403">
        <v>290142.09999999998</v>
      </c>
      <c r="C735" s="416"/>
      <c r="D735" s="403"/>
    </row>
    <row r="736" spans="1:4" x14ac:dyDescent="0.2">
      <c r="A736" s="416">
        <v>43396</v>
      </c>
      <c r="B736" s="403">
        <v>290142</v>
      </c>
      <c r="C736" s="416"/>
      <c r="D736" s="403"/>
    </row>
    <row r="737" spans="1:4" x14ac:dyDescent="0.2">
      <c r="A737" s="416">
        <v>43397</v>
      </c>
      <c r="B737" s="403">
        <v>290034.38</v>
      </c>
      <c r="C737" s="416"/>
      <c r="D737" s="403"/>
    </row>
    <row r="738" spans="1:4" x14ac:dyDescent="0.2">
      <c r="A738" s="416">
        <v>43398</v>
      </c>
      <c r="B738" s="403">
        <v>291747.36</v>
      </c>
      <c r="C738" s="416"/>
      <c r="D738" s="403"/>
    </row>
    <row r="739" spans="1:4" x14ac:dyDescent="0.2">
      <c r="A739" s="416">
        <v>43399</v>
      </c>
      <c r="B739" s="403">
        <v>306637.48</v>
      </c>
      <c r="C739" s="416"/>
      <c r="D739" s="403"/>
    </row>
    <row r="740" spans="1:4" x14ac:dyDescent="0.2">
      <c r="A740" s="416">
        <v>43402</v>
      </c>
      <c r="B740" s="403">
        <v>270401.28999999998</v>
      </c>
      <c r="C740" s="416"/>
      <c r="D740" s="403"/>
    </row>
    <row r="741" spans="1:4" x14ac:dyDescent="0.2">
      <c r="A741" s="416">
        <v>43403</v>
      </c>
      <c r="B741" s="403">
        <v>278028.58</v>
      </c>
      <c r="C741" s="416"/>
      <c r="D741" s="403"/>
    </row>
    <row r="742" spans="1:4" x14ac:dyDescent="0.2">
      <c r="A742" s="416">
        <v>43404</v>
      </c>
      <c r="B742" s="403">
        <v>278029</v>
      </c>
      <c r="C742" s="416"/>
      <c r="D742" s="403"/>
    </row>
    <row r="743" spans="1:4" x14ac:dyDescent="0.2">
      <c r="A743" s="416">
        <v>43405</v>
      </c>
      <c r="B743" s="403">
        <v>279523.53000000003</v>
      </c>
      <c r="C743" s="416"/>
      <c r="D743" s="403"/>
    </row>
    <row r="744" spans="1:4" x14ac:dyDescent="0.2">
      <c r="A744" s="416">
        <v>43406</v>
      </c>
      <c r="B744" s="403">
        <v>303100.06</v>
      </c>
      <c r="C744" s="416"/>
      <c r="D744" s="403"/>
    </row>
    <row r="745" spans="1:4" x14ac:dyDescent="0.2">
      <c r="A745" s="416">
        <v>43409</v>
      </c>
      <c r="B745" s="403">
        <v>303100.06</v>
      </c>
      <c r="C745" s="416"/>
      <c r="D745" s="403"/>
    </row>
    <row r="746" spans="1:4" x14ac:dyDescent="0.2">
      <c r="A746" s="416">
        <v>43410</v>
      </c>
      <c r="B746" s="403">
        <v>303100.06</v>
      </c>
      <c r="C746" s="416"/>
      <c r="D746" s="403"/>
    </row>
    <row r="747" spans="1:4" x14ac:dyDescent="0.2">
      <c r="A747" s="416">
        <v>43411</v>
      </c>
      <c r="B747" s="403">
        <v>303954.14</v>
      </c>
      <c r="C747" s="416"/>
      <c r="D747" s="403"/>
    </row>
    <row r="748" spans="1:4" x14ac:dyDescent="0.2">
      <c r="A748" s="416">
        <v>43412</v>
      </c>
      <c r="B748" s="403">
        <v>294843.14</v>
      </c>
      <c r="C748" s="416"/>
      <c r="D748" s="403"/>
    </row>
    <row r="749" spans="1:4" x14ac:dyDescent="0.2">
      <c r="A749" s="416">
        <v>43413</v>
      </c>
      <c r="B749" s="403">
        <v>294843</v>
      </c>
      <c r="C749" s="416"/>
      <c r="D749" s="403"/>
    </row>
    <row r="750" spans="1:4" x14ac:dyDescent="0.2">
      <c r="A750" s="416">
        <v>43416</v>
      </c>
      <c r="B750" s="403">
        <v>294843</v>
      </c>
      <c r="C750" s="416"/>
      <c r="D750" s="403"/>
    </row>
    <row r="751" spans="1:4" x14ac:dyDescent="0.2">
      <c r="A751" s="416">
        <v>43417</v>
      </c>
      <c r="B751" s="403">
        <v>294843</v>
      </c>
      <c r="C751" s="416"/>
      <c r="D751" s="403"/>
    </row>
    <row r="752" spans="1:4" x14ac:dyDescent="0.2">
      <c r="A752" s="416">
        <v>43418</v>
      </c>
      <c r="B752" s="403">
        <v>259514.47</v>
      </c>
      <c r="C752" s="416"/>
      <c r="D752" s="403"/>
    </row>
    <row r="753" spans="1:4" x14ac:dyDescent="0.2">
      <c r="A753" s="416">
        <v>43419</v>
      </c>
      <c r="B753" s="403">
        <v>255987.45</v>
      </c>
      <c r="C753" s="416"/>
      <c r="D753" s="403"/>
    </row>
    <row r="754" spans="1:4" x14ac:dyDescent="0.2">
      <c r="A754" s="416">
        <v>43420</v>
      </c>
      <c r="B754" s="403">
        <v>255987.45</v>
      </c>
      <c r="C754" s="416"/>
      <c r="D754" s="403"/>
    </row>
    <row r="755" spans="1:4" x14ac:dyDescent="0.2">
      <c r="A755" s="416">
        <v>43423</v>
      </c>
      <c r="B755" s="403">
        <v>255987.45</v>
      </c>
      <c r="C755" s="416"/>
      <c r="D755" s="403"/>
    </row>
    <row r="756" spans="1:4" x14ac:dyDescent="0.2">
      <c r="A756" s="416">
        <v>43424</v>
      </c>
      <c r="B756" s="403">
        <v>254650.75</v>
      </c>
      <c r="C756" s="416"/>
      <c r="D756" s="403"/>
    </row>
    <row r="757" spans="1:4" x14ac:dyDescent="0.2">
      <c r="A757" s="416">
        <v>43425</v>
      </c>
      <c r="B757" s="403">
        <v>298403.21000000002</v>
      </c>
      <c r="C757" s="416"/>
      <c r="D757" s="403"/>
    </row>
    <row r="758" spans="1:4" x14ac:dyDescent="0.2">
      <c r="A758" s="416">
        <v>43426</v>
      </c>
      <c r="B758" s="403">
        <v>300529.64</v>
      </c>
      <c r="C758" s="416"/>
      <c r="D758" s="403"/>
    </row>
    <row r="759" spans="1:4" x14ac:dyDescent="0.2">
      <c r="A759" s="416">
        <v>43427</v>
      </c>
      <c r="B759" s="403">
        <v>300229.64</v>
      </c>
      <c r="C759" s="416"/>
      <c r="D759" s="403"/>
    </row>
    <row r="760" spans="1:4" x14ac:dyDescent="0.2">
      <c r="A760" s="416">
        <v>43430</v>
      </c>
      <c r="B760" s="403">
        <v>300230</v>
      </c>
      <c r="C760" s="416"/>
      <c r="D760" s="403"/>
    </row>
    <row r="761" spans="1:4" x14ac:dyDescent="0.2">
      <c r="A761" s="416">
        <v>43431</v>
      </c>
      <c r="B761" s="403">
        <v>267674.82</v>
      </c>
      <c r="C761" s="416"/>
      <c r="D761" s="403"/>
    </row>
    <row r="762" spans="1:4" x14ac:dyDescent="0.2">
      <c r="A762" s="416">
        <v>43432</v>
      </c>
      <c r="B762" s="403">
        <v>273448.82</v>
      </c>
      <c r="C762" s="416"/>
      <c r="D762" s="403"/>
    </row>
    <row r="763" spans="1:4" x14ac:dyDescent="0.2">
      <c r="A763" s="416">
        <v>43433</v>
      </c>
      <c r="B763" s="403">
        <v>252527.09</v>
      </c>
      <c r="C763" s="416"/>
      <c r="D763" s="403"/>
    </row>
    <row r="764" spans="1:4" x14ac:dyDescent="0.2">
      <c r="A764" s="416">
        <v>43434</v>
      </c>
      <c r="B764" s="403">
        <v>321968.59000000003</v>
      </c>
      <c r="C764" s="416"/>
      <c r="D764" s="403"/>
    </row>
    <row r="765" spans="1:4" x14ac:dyDescent="0.2">
      <c r="A765" s="416">
        <v>43437</v>
      </c>
      <c r="B765" s="403">
        <v>321969</v>
      </c>
      <c r="C765" s="416"/>
      <c r="D765" s="403"/>
    </row>
    <row r="766" spans="1:4" x14ac:dyDescent="0.2">
      <c r="A766" s="416">
        <v>43438</v>
      </c>
      <c r="B766" s="403">
        <v>321969</v>
      </c>
      <c r="C766" s="416"/>
      <c r="D766" s="403"/>
    </row>
    <row r="767" spans="1:4" x14ac:dyDescent="0.2">
      <c r="A767" s="416">
        <v>43439</v>
      </c>
      <c r="B767" s="403">
        <v>321969</v>
      </c>
      <c r="C767" s="416"/>
      <c r="D767" s="403"/>
    </row>
    <row r="768" spans="1:4" x14ac:dyDescent="0.2">
      <c r="A768" s="416">
        <v>43440</v>
      </c>
      <c r="B768" s="403">
        <v>314251.55</v>
      </c>
      <c r="C768" s="416"/>
      <c r="D768" s="403"/>
    </row>
    <row r="769" spans="1:4" x14ac:dyDescent="0.2">
      <c r="A769" s="416">
        <v>43441</v>
      </c>
      <c r="B769" s="403">
        <v>315739.42</v>
      </c>
      <c r="C769" s="416"/>
      <c r="D769" s="403"/>
    </row>
    <row r="770" spans="1:4" x14ac:dyDescent="0.2">
      <c r="A770" s="416">
        <v>43444</v>
      </c>
      <c r="B770" s="403">
        <v>315739</v>
      </c>
      <c r="C770" s="416"/>
      <c r="D770" s="403"/>
    </row>
    <row r="771" spans="1:4" x14ac:dyDescent="0.2">
      <c r="A771" s="416">
        <v>43445</v>
      </c>
      <c r="B771" s="403">
        <v>275506.94</v>
      </c>
      <c r="C771" s="416"/>
      <c r="D771" s="403"/>
    </row>
    <row r="772" spans="1:4" x14ac:dyDescent="0.2">
      <c r="A772" s="416">
        <v>43446</v>
      </c>
      <c r="B772" s="403">
        <v>275507</v>
      </c>
      <c r="C772" s="416"/>
      <c r="D772" s="403"/>
    </row>
    <row r="773" spans="1:4" x14ac:dyDescent="0.2">
      <c r="A773" s="416">
        <v>43447</v>
      </c>
      <c r="B773" s="403">
        <v>289896.89</v>
      </c>
      <c r="C773" s="416"/>
      <c r="D773" s="403"/>
    </row>
    <row r="774" spans="1:4" x14ac:dyDescent="0.2">
      <c r="A774" s="416">
        <v>43448</v>
      </c>
      <c r="B774" s="403">
        <v>313281.34999999998</v>
      </c>
      <c r="C774" s="416"/>
      <c r="D774" s="403"/>
    </row>
    <row r="775" spans="1:4" x14ac:dyDescent="0.2">
      <c r="A775" s="416">
        <v>43451</v>
      </c>
      <c r="B775" s="403">
        <v>313281</v>
      </c>
      <c r="C775" s="416"/>
      <c r="D775" s="403"/>
    </row>
    <row r="776" spans="1:4" x14ac:dyDescent="0.2">
      <c r="A776" s="416">
        <v>43452</v>
      </c>
      <c r="B776" s="403">
        <v>317556.84999999998</v>
      </c>
      <c r="C776" s="416"/>
      <c r="D776" s="403"/>
    </row>
    <row r="777" spans="1:4" x14ac:dyDescent="0.2">
      <c r="A777" s="416">
        <v>43453</v>
      </c>
      <c r="B777" s="403">
        <v>317557</v>
      </c>
      <c r="C777" s="416"/>
      <c r="D777" s="403"/>
    </row>
    <row r="778" spans="1:4" x14ac:dyDescent="0.2">
      <c r="A778" s="416">
        <v>43454</v>
      </c>
      <c r="B778" s="403">
        <v>297159.33</v>
      </c>
      <c r="C778" s="416"/>
      <c r="D778" s="403"/>
    </row>
    <row r="779" spans="1:4" x14ac:dyDescent="0.2">
      <c r="A779" s="416">
        <v>43455</v>
      </c>
      <c r="B779" s="403">
        <v>297159</v>
      </c>
      <c r="C779" s="416"/>
      <c r="D779" s="403"/>
    </row>
    <row r="780" spans="1:4" x14ac:dyDescent="0.2">
      <c r="A780" s="416">
        <v>43458</v>
      </c>
      <c r="B780" s="403">
        <v>260233.37</v>
      </c>
      <c r="C780" s="416"/>
      <c r="D780" s="403"/>
    </row>
    <row r="781" spans="1:4" x14ac:dyDescent="0.2">
      <c r="A781" s="416">
        <v>43459</v>
      </c>
      <c r="B781" s="403">
        <v>260233</v>
      </c>
      <c r="C781" s="416"/>
      <c r="D781" s="403"/>
    </row>
    <row r="782" spans="1:4" x14ac:dyDescent="0.2">
      <c r="A782" s="416">
        <v>43460</v>
      </c>
      <c r="B782" s="403">
        <v>261845.78</v>
      </c>
      <c r="C782" s="416"/>
      <c r="D782" s="403"/>
    </row>
    <row r="783" spans="1:4" x14ac:dyDescent="0.2">
      <c r="A783" s="416">
        <v>43461</v>
      </c>
      <c r="B783" s="403">
        <v>261846</v>
      </c>
      <c r="C783" s="416"/>
      <c r="D783" s="403"/>
    </row>
    <row r="784" spans="1:4" x14ac:dyDescent="0.2">
      <c r="A784" s="416">
        <v>43462</v>
      </c>
      <c r="B784" s="403">
        <v>273805.40000000002</v>
      </c>
      <c r="C784" s="416"/>
      <c r="D784" s="403"/>
    </row>
    <row r="785" spans="1:4" x14ac:dyDescent="0.2">
      <c r="A785" s="416">
        <v>43465</v>
      </c>
      <c r="B785" s="403">
        <v>274101.40000000002</v>
      </c>
      <c r="C785" s="416"/>
      <c r="D785" s="403"/>
    </row>
    <row r="786" spans="1:4" x14ac:dyDescent="0.2">
      <c r="A786" s="416">
        <v>43466</v>
      </c>
      <c r="B786" s="403">
        <v>274101</v>
      </c>
      <c r="C786" s="416"/>
      <c r="D786" s="403"/>
    </row>
    <row r="787" spans="1:4" x14ac:dyDescent="0.2">
      <c r="A787" s="416">
        <v>43467</v>
      </c>
      <c r="B787" s="403">
        <v>299108.40000000002</v>
      </c>
      <c r="C787" s="416"/>
      <c r="D787" s="403"/>
    </row>
    <row r="788" spans="1:4" x14ac:dyDescent="0.2">
      <c r="A788" s="416">
        <v>43468</v>
      </c>
      <c r="B788" s="403">
        <v>298070.78000000003</v>
      </c>
      <c r="C788" s="416"/>
      <c r="D788" s="403"/>
    </row>
    <row r="789" spans="1:4" x14ac:dyDescent="0.2">
      <c r="A789" s="416">
        <v>43469</v>
      </c>
      <c r="B789" s="403">
        <v>298071</v>
      </c>
      <c r="C789" s="416"/>
      <c r="D789" s="403"/>
    </row>
    <row r="790" spans="1:4" x14ac:dyDescent="0.2">
      <c r="A790" s="416">
        <v>43472</v>
      </c>
      <c r="B790" s="403">
        <v>298430.78000000003</v>
      </c>
      <c r="C790" s="416"/>
      <c r="D790" s="403"/>
    </row>
    <row r="791" spans="1:4" x14ac:dyDescent="0.2">
      <c r="A791" s="416">
        <v>43473</v>
      </c>
      <c r="B791" s="403">
        <v>264835.63</v>
      </c>
      <c r="C791" s="416"/>
      <c r="D791" s="403"/>
    </row>
    <row r="792" spans="1:4" x14ac:dyDescent="0.2">
      <c r="A792" s="416">
        <v>43474</v>
      </c>
      <c r="B792" s="403">
        <v>303664.65999999997</v>
      </c>
      <c r="C792" s="416"/>
      <c r="D792" s="403"/>
    </row>
    <row r="793" spans="1:4" x14ac:dyDescent="0.2">
      <c r="A793" s="416">
        <v>43475</v>
      </c>
      <c r="B793" s="403">
        <v>299790.71999999997</v>
      </c>
      <c r="C793" s="416"/>
      <c r="D793" s="403"/>
    </row>
    <row r="794" spans="1:4" x14ac:dyDescent="0.2">
      <c r="A794" s="416">
        <v>43476</v>
      </c>
      <c r="B794" s="444">
        <v>309881.71999999997</v>
      </c>
      <c r="C794" s="416"/>
      <c r="D794" s="403"/>
    </row>
    <row r="795" spans="1:4" x14ac:dyDescent="0.2">
      <c r="A795" s="416">
        <v>43479</v>
      </c>
      <c r="B795" s="403">
        <v>284374.78999999998</v>
      </c>
      <c r="C795" s="416"/>
      <c r="D795" s="403"/>
    </row>
    <row r="796" spans="1:4" x14ac:dyDescent="0.2">
      <c r="A796" s="416">
        <v>43480</v>
      </c>
      <c r="B796" s="403">
        <v>284494.75</v>
      </c>
      <c r="C796" s="416"/>
      <c r="D796" s="403"/>
    </row>
    <row r="797" spans="1:4" x14ac:dyDescent="0.2">
      <c r="A797" s="416">
        <v>43481</v>
      </c>
      <c r="B797" s="403">
        <v>277370.03000000003</v>
      </c>
      <c r="C797" s="416"/>
      <c r="D797" s="403"/>
    </row>
    <row r="798" spans="1:4" x14ac:dyDescent="0.2">
      <c r="A798" s="416">
        <v>43482</v>
      </c>
      <c r="B798" s="403">
        <v>266103.65999999997</v>
      </c>
      <c r="C798" s="416"/>
      <c r="D798" s="403"/>
    </row>
    <row r="799" spans="1:4" x14ac:dyDescent="0.2">
      <c r="A799" s="416">
        <v>43483</v>
      </c>
      <c r="B799" s="403">
        <v>266189.65999999997</v>
      </c>
      <c r="C799" s="416"/>
      <c r="D799" s="403"/>
    </row>
    <row r="800" spans="1:4" x14ac:dyDescent="0.2">
      <c r="A800" s="416">
        <v>43486</v>
      </c>
      <c r="B800" s="403">
        <v>266190</v>
      </c>
      <c r="C800" s="416"/>
      <c r="D800" s="403"/>
    </row>
    <row r="801" spans="1:4" x14ac:dyDescent="0.2">
      <c r="A801" s="416">
        <v>43487</v>
      </c>
      <c r="B801" s="403">
        <v>228832.05</v>
      </c>
      <c r="C801" s="416"/>
      <c r="D801" s="403"/>
    </row>
    <row r="802" spans="1:4" x14ac:dyDescent="0.2">
      <c r="A802" s="416">
        <v>43488</v>
      </c>
      <c r="B802" s="403">
        <v>229285.41</v>
      </c>
      <c r="C802" s="416"/>
      <c r="D802" s="403"/>
    </row>
    <row r="803" spans="1:4" x14ac:dyDescent="0.2">
      <c r="A803" s="416">
        <v>43489</v>
      </c>
      <c r="B803" s="403">
        <v>236709.42</v>
      </c>
      <c r="C803" s="416"/>
      <c r="D803" s="403"/>
    </row>
    <row r="804" spans="1:4" x14ac:dyDescent="0.2">
      <c r="A804" s="416">
        <v>43490</v>
      </c>
      <c r="B804" s="403">
        <v>236709</v>
      </c>
      <c r="C804" s="416"/>
      <c r="D804" s="403"/>
    </row>
    <row r="805" spans="1:4" x14ac:dyDescent="0.2">
      <c r="A805" s="416">
        <v>43493</v>
      </c>
      <c r="B805" s="403">
        <v>236400.88</v>
      </c>
      <c r="C805" s="416"/>
      <c r="D805" s="403"/>
    </row>
    <row r="806" spans="1:4" x14ac:dyDescent="0.2">
      <c r="A806" s="416">
        <v>43494</v>
      </c>
      <c r="B806" s="403">
        <v>236401</v>
      </c>
      <c r="C806" s="416"/>
      <c r="D806" s="403"/>
    </row>
    <row r="807" spans="1:4" x14ac:dyDescent="0.2">
      <c r="A807" s="416">
        <v>43495</v>
      </c>
      <c r="B807" s="403">
        <v>236401</v>
      </c>
      <c r="C807" s="416"/>
      <c r="D807" s="403"/>
    </row>
    <row r="808" spans="1:4" x14ac:dyDescent="0.2">
      <c r="A808" s="416">
        <v>43496</v>
      </c>
      <c r="B808" s="403">
        <v>237605.71</v>
      </c>
      <c r="C808" s="416"/>
      <c r="D808" s="403"/>
    </row>
    <row r="809" spans="1:4" x14ac:dyDescent="0.2">
      <c r="A809" s="416">
        <v>43497</v>
      </c>
      <c r="B809" s="403">
        <v>237728.71</v>
      </c>
      <c r="C809" s="416"/>
      <c r="D809" s="403"/>
    </row>
    <row r="810" spans="1:4" x14ac:dyDescent="0.2">
      <c r="A810" s="416">
        <v>43500</v>
      </c>
      <c r="B810" s="403">
        <v>201980</v>
      </c>
      <c r="C810" s="416"/>
      <c r="D810" s="403"/>
    </row>
    <row r="811" spans="1:4" x14ac:dyDescent="0.2">
      <c r="A811" s="416">
        <v>43501</v>
      </c>
      <c r="B811" s="403">
        <v>225615.34</v>
      </c>
      <c r="C811" s="416"/>
      <c r="D811" s="403"/>
    </row>
    <row r="812" spans="1:4" x14ac:dyDescent="0.2">
      <c r="A812" s="416">
        <v>43502</v>
      </c>
      <c r="B812" s="403">
        <v>225615</v>
      </c>
      <c r="C812" s="416"/>
      <c r="D812" s="403"/>
    </row>
    <row r="813" spans="1:4" x14ac:dyDescent="0.2">
      <c r="A813" s="416">
        <v>43503</v>
      </c>
      <c r="B813" s="403">
        <v>219151.3</v>
      </c>
      <c r="C813" s="416"/>
      <c r="D813" s="403"/>
    </row>
    <row r="814" spans="1:4" x14ac:dyDescent="0.2">
      <c r="A814" s="416">
        <v>43504</v>
      </c>
      <c r="B814" s="403">
        <v>219351.3</v>
      </c>
      <c r="C814" s="416"/>
      <c r="D814" s="403"/>
    </row>
    <row r="815" spans="1:4" x14ac:dyDescent="0.2">
      <c r="A815" s="416">
        <v>43507</v>
      </c>
      <c r="B815" s="403">
        <v>219351</v>
      </c>
      <c r="C815" s="416"/>
      <c r="D815" s="403"/>
    </row>
    <row r="816" spans="1:4" x14ac:dyDescent="0.2">
      <c r="A816" s="416">
        <v>43508</v>
      </c>
      <c r="B816" s="403">
        <v>219351</v>
      </c>
      <c r="C816" s="416"/>
      <c r="D816" s="403"/>
    </row>
    <row r="817" spans="1:4" x14ac:dyDescent="0.2">
      <c r="A817" s="416">
        <v>43509</v>
      </c>
      <c r="B817" s="403">
        <v>219351</v>
      </c>
      <c r="C817" s="416"/>
      <c r="D817" s="403"/>
    </row>
    <row r="818" spans="1:4" x14ac:dyDescent="0.2">
      <c r="A818" s="416">
        <v>43510</v>
      </c>
      <c r="B818" s="403">
        <v>206758.66</v>
      </c>
      <c r="C818" s="416"/>
      <c r="D818" s="403"/>
    </row>
    <row r="819" spans="1:4" x14ac:dyDescent="0.2">
      <c r="A819" s="416">
        <v>43511</v>
      </c>
      <c r="B819" s="403">
        <v>234837.55</v>
      </c>
      <c r="C819" s="416"/>
      <c r="D819" s="403"/>
    </row>
    <row r="820" spans="1:4" x14ac:dyDescent="0.2">
      <c r="A820" s="416">
        <v>43514</v>
      </c>
      <c r="B820" s="403">
        <v>234838</v>
      </c>
      <c r="C820" s="416"/>
      <c r="D820" s="403"/>
    </row>
    <row r="821" spans="1:4" x14ac:dyDescent="0.2">
      <c r="A821" s="416">
        <v>43515</v>
      </c>
      <c r="B821" s="403">
        <v>199113.26</v>
      </c>
      <c r="C821" s="416"/>
      <c r="D821" s="403"/>
    </row>
    <row r="822" spans="1:4" x14ac:dyDescent="0.2">
      <c r="A822" s="416">
        <v>43516</v>
      </c>
      <c r="B822" s="403">
        <v>199113</v>
      </c>
      <c r="C822" s="416"/>
      <c r="D822" s="403"/>
    </row>
    <row r="823" spans="1:4" x14ac:dyDescent="0.2">
      <c r="A823" s="416">
        <v>43517</v>
      </c>
      <c r="B823" s="403">
        <v>205400.17</v>
      </c>
      <c r="C823" s="416"/>
      <c r="D823" s="403"/>
    </row>
    <row r="824" spans="1:4" x14ac:dyDescent="0.2">
      <c r="A824" s="416">
        <v>43518</v>
      </c>
      <c r="B824" s="403">
        <v>220161.91</v>
      </c>
      <c r="C824" s="416"/>
      <c r="D824" s="403"/>
    </row>
    <row r="825" spans="1:4" x14ac:dyDescent="0.2">
      <c r="A825" s="416">
        <v>43521</v>
      </c>
      <c r="B825" s="403">
        <v>220161.91</v>
      </c>
      <c r="C825" s="416"/>
      <c r="D825" s="403"/>
    </row>
    <row r="826" spans="1:4" x14ac:dyDescent="0.2">
      <c r="A826" s="416">
        <v>43522</v>
      </c>
      <c r="B826" s="403">
        <v>220161.91</v>
      </c>
      <c r="C826" s="416"/>
      <c r="D826" s="403"/>
    </row>
    <row r="827" spans="1:4" x14ac:dyDescent="0.2">
      <c r="A827" s="416">
        <v>43523</v>
      </c>
      <c r="B827" s="403">
        <v>220161.91</v>
      </c>
      <c r="C827" s="416"/>
      <c r="D827" s="403"/>
    </row>
    <row r="828" spans="1:4" x14ac:dyDescent="0.2">
      <c r="A828" s="416">
        <v>43524</v>
      </c>
      <c r="B828" s="403">
        <v>224635.26</v>
      </c>
      <c r="C828" s="416"/>
      <c r="D828" s="403"/>
    </row>
    <row r="829" spans="1:4" x14ac:dyDescent="0.2">
      <c r="A829" s="416">
        <v>43525</v>
      </c>
      <c r="B829" s="403">
        <v>298900.61</v>
      </c>
      <c r="C829" s="416"/>
      <c r="D829" s="403"/>
    </row>
    <row r="830" spans="1:4" x14ac:dyDescent="0.2">
      <c r="A830" s="416">
        <v>43528</v>
      </c>
      <c r="B830" s="403">
        <v>262246.8</v>
      </c>
      <c r="C830" s="416"/>
      <c r="D830" s="403"/>
    </row>
    <row r="831" spans="1:4" x14ac:dyDescent="0.2">
      <c r="A831" s="416">
        <v>43529</v>
      </c>
      <c r="B831" s="403">
        <v>262247</v>
      </c>
      <c r="C831" s="416"/>
      <c r="D831" s="403"/>
    </row>
    <row r="832" spans="1:4" x14ac:dyDescent="0.2">
      <c r="A832" s="416">
        <v>43530</v>
      </c>
      <c r="B832" s="403">
        <v>262247</v>
      </c>
      <c r="C832" s="416"/>
      <c r="D832" s="403"/>
    </row>
    <row r="833" spans="1:4" x14ac:dyDescent="0.2">
      <c r="A833" s="416">
        <v>43531</v>
      </c>
      <c r="B833" s="403">
        <v>275395.15000000002</v>
      </c>
      <c r="C833" s="416"/>
      <c r="D833" s="403"/>
    </row>
    <row r="834" spans="1:4" x14ac:dyDescent="0.2">
      <c r="A834" s="416">
        <v>43532</v>
      </c>
      <c r="B834" s="403">
        <v>275395</v>
      </c>
      <c r="C834" s="416"/>
      <c r="D834" s="403"/>
    </row>
    <row r="835" spans="1:4" x14ac:dyDescent="0.2">
      <c r="A835" s="416">
        <v>43535</v>
      </c>
      <c r="B835" s="403">
        <v>275395</v>
      </c>
      <c r="C835" s="416"/>
      <c r="D835" s="403"/>
    </row>
    <row r="836" spans="1:4" x14ac:dyDescent="0.2">
      <c r="A836" s="416">
        <v>43536</v>
      </c>
      <c r="B836" s="403">
        <v>275395</v>
      </c>
      <c r="C836" s="416"/>
      <c r="D836" s="403"/>
    </row>
    <row r="837" spans="1:4" x14ac:dyDescent="0.2">
      <c r="A837" s="416">
        <v>43537</v>
      </c>
      <c r="B837" s="403">
        <v>316802.46999999997</v>
      </c>
      <c r="C837" s="416"/>
      <c r="D837" s="403"/>
    </row>
    <row r="838" spans="1:4" x14ac:dyDescent="0.2">
      <c r="A838" s="416">
        <v>43538</v>
      </c>
      <c r="B838" s="403">
        <v>297067.40000000002</v>
      </c>
      <c r="C838" s="416"/>
      <c r="D838" s="403"/>
    </row>
    <row r="839" spans="1:4" x14ac:dyDescent="0.2">
      <c r="A839" s="416">
        <v>43539</v>
      </c>
      <c r="B839" s="403">
        <v>300574.83</v>
      </c>
      <c r="C839" s="416"/>
      <c r="D839" s="403"/>
    </row>
    <row r="840" spans="1:4" x14ac:dyDescent="0.2">
      <c r="A840" s="416">
        <v>43542</v>
      </c>
      <c r="B840" s="403">
        <v>264695.24</v>
      </c>
      <c r="C840" s="416"/>
      <c r="D840" s="403"/>
    </row>
    <row r="841" spans="1:4" x14ac:dyDescent="0.2">
      <c r="A841" s="416">
        <v>43543</v>
      </c>
      <c r="B841" s="403">
        <v>264695</v>
      </c>
      <c r="C841" s="416"/>
      <c r="D841" s="403"/>
    </row>
    <row r="842" spans="1:4" x14ac:dyDescent="0.2">
      <c r="A842" s="416">
        <v>43544</v>
      </c>
      <c r="B842" s="403">
        <v>264695</v>
      </c>
      <c r="C842" s="416"/>
      <c r="D842" s="403"/>
    </row>
    <row r="843" spans="1:4" x14ac:dyDescent="0.2">
      <c r="A843" s="416">
        <v>43545</v>
      </c>
      <c r="B843" s="403">
        <v>282838.67</v>
      </c>
      <c r="C843" s="416"/>
      <c r="D843" s="403"/>
    </row>
    <row r="844" spans="1:4" x14ac:dyDescent="0.2">
      <c r="A844" s="416">
        <v>43546</v>
      </c>
      <c r="B844" s="403">
        <v>282839</v>
      </c>
      <c r="C844" s="416"/>
      <c r="D844" s="403"/>
    </row>
    <row r="845" spans="1:4" x14ac:dyDescent="0.2">
      <c r="A845" s="416">
        <v>43549</v>
      </c>
      <c r="B845" s="444">
        <v>333807.26</v>
      </c>
      <c r="C845" s="416"/>
      <c r="D845" s="403"/>
    </row>
    <row r="846" spans="1:4" x14ac:dyDescent="0.2">
      <c r="A846" s="416">
        <v>43550</v>
      </c>
      <c r="B846" s="403">
        <v>332295.96000000002</v>
      </c>
      <c r="C846" s="416"/>
      <c r="D846" s="403"/>
    </row>
    <row r="847" spans="1:4" x14ac:dyDescent="0.2">
      <c r="A847" s="416">
        <v>43551</v>
      </c>
      <c r="B847" s="403">
        <v>325401.01</v>
      </c>
      <c r="C847" s="416"/>
      <c r="D847" s="403"/>
    </row>
    <row r="848" spans="1:4" x14ac:dyDescent="0.2">
      <c r="A848" s="416">
        <v>43552</v>
      </c>
      <c r="B848" s="403">
        <v>328793.55</v>
      </c>
      <c r="C848" s="416"/>
      <c r="D848" s="403"/>
    </row>
    <row r="849" spans="1:4" x14ac:dyDescent="0.2">
      <c r="A849" s="416">
        <v>43553</v>
      </c>
      <c r="B849" s="403">
        <v>329088.55</v>
      </c>
      <c r="C849" s="416"/>
      <c r="D849" s="403"/>
    </row>
    <row r="850" spans="1:4" x14ac:dyDescent="0.2">
      <c r="A850" s="416">
        <v>43556</v>
      </c>
      <c r="B850" s="403">
        <v>328488.55</v>
      </c>
      <c r="C850" s="416"/>
      <c r="D850" s="403"/>
    </row>
    <row r="851" spans="1:4" x14ac:dyDescent="0.2">
      <c r="A851" s="416">
        <v>43557</v>
      </c>
      <c r="B851" s="403">
        <v>292528.71999999997</v>
      </c>
      <c r="C851" s="416"/>
      <c r="D851" s="403"/>
    </row>
    <row r="852" spans="1:4" x14ac:dyDescent="0.2">
      <c r="A852" s="416">
        <v>43558</v>
      </c>
      <c r="B852" s="403">
        <v>294672.43</v>
      </c>
      <c r="C852" s="416"/>
      <c r="D852" s="403"/>
    </row>
    <row r="853" spans="1:4" x14ac:dyDescent="0.2">
      <c r="A853" s="416">
        <v>43559</v>
      </c>
      <c r="B853" s="403">
        <v>292850.33</v>
      </c>
      <c r="C853" s="416"/>
      <c r="D853" s="403"/>
    </row>
    <row r="854" spans="1:4" x14ac:dyDescent="0.2">
      <c r="A854" s="416">
        <v>43560</v>
      </c>
      <c r="B854" s="403">
        <v>284702.78999999998</v>
      </c>
      <c r="C854" s="416"/>
      <c r="D854" s="403"/>
    </row>
    <row r="855" spans="1:4" x14ac:dyDescent="0.2">
      <c r="A855" s="416">
        <v>43563</v>
      </c>
      <c r="B855" s="403">
        <v>284703</v>
      </c>
      <c r="C855" s="416"/>
      <c r="D855" s="403"/>
    </row>
    <row r="856" spans="1:4" x14ac:dyDescent="0.2">
      <c r="A856" s="416">
        <v>43564</v>
      </c>
      <c r="B856" s="403">
        <v>284775.52</v>
      </c>
      <c r="C856" s="416"/>
      <c r="D856" s="403"/>
    </row>
    <row r="857" spans="1:4" x14ac:dyDescent="0.2">
      <c r="A857" s="416">
        <v>43565</v>
      </c>
      <c r="B857" s="403">
        <v>284776</v>
      </c>
      <c r="C857" s="416"/>
      <c r="D857" s="403"/>
    </row>
    <row r="858" spans="1:4" x14ac:dyDescent="0.2">
      <c r="A858" s="416">
        <v>43566</v>
      </c>
      <c r="B858" s="403">
        <v>277335.02</v>
      </c>
      <c r="C858" s="416"/>
      <c r="D858" s="403"/>
    </row>
    <row r="859" spans="1:4" x14ac:dyDescent="0.2">
      <c r="A859" s="416">
        <v>43567</v>
      </c>
      <c r="B859" s="403">
        <v>277335</v>
      </c>
      <c r="C859" s="416"/>
      <c r="D859" s="403"/>
    </row>
    <row r="860" spans="1:4" x14ac:dyDescent="0.2">
      <c r="A860" s="416">
        <v>43570</v>
      </c>
      <c r="B860" s="403">
        <v>277462.90999999997</v>
      </c>
      <c r="C860" s="416"/>
      <c r="D860" s="403"/>
    </row>
    <row r="861" spans="1:4" x14ac:dyDescent="0.2">
      <c r="A861" s="416">
        <v>43571</v>
      </c>
      <c r="B861" s="403">
        <v>241180.07</v>
      </c>
      <c r="C861" s="416"/>
      <c r="D861" s="403"/>
    </row>
    <row r="862" spans="1:4" x14ac:dyDescent="0.2">
      <c r="A862" s="416">
        <v>43572</v>
      </c>
      <c r="B862" s="403">
        <v>257634.61</v>
      </c>
      <c r="C862" s="416"/>
      <c r="D862" s="403"/>
    </row>
    <row r="863" spans="1:4" x14ac:dyDescent="0.2">
      <c r="A863" s="416">
        <v>43573</v>
      </c>
      <c r="B863" s="403">
        <v>241154.55</v>
      </c>
      <c r="C863" s="416"/>
      <c r="D863" s="403"/>
    </row>
    <row r="864" spans="1:4" x14ac:dyDescent="0.2">
      <c r="A864" s="416">
        <v>43574</v>
      </c>
      <c r="B864" s="403">
        <v>243162.78</v>
      </c>
      <c r="C864" s="416"/>
      <c r="D864" s="403"/>
    </row>
    <row r="865" spans="1:4" x14ac:dyDescent="0.2">
      <c r="A865" s="416">
        <v>43577</v>
      </c>
      <c r="B865" s="403">
        <v>243003.93</v>
      </c>
      <c r="C865" s="416"/>
      <c r="D865" s="403"/>
    </row>
    <row r="866" spans="1:4" x14ac:dyDescent="0.2">
      <c r="A866" s="416">
        <v>43578</v>
      </c>
      <c r="B866" s="403">
        <v>243004</v>
      </c>
      <c r="C866" s="416"/>
      <c r="D866" s="403"/>
    </row>
    <row r="867" spans="1:4" x14ac:dyDescent="0.2">
      <c r="A867" s="416">
        <v>43579</v>
      </c>
      <c r="B867" s="403">
        <v>243060.55</v>
      </c>
      <c r="C867" s="416"/>
      <c r="D867" s="403"/>
    </row>
    <row r="868" spans="1:4" x14ac:dyDescent="0.2">
      <c r="A868" s="416">
        <v>43580</v>
      </c>
      <c r="B868" s="403">
        <v>245074.5</v>
      </c>
      <c r="C868" s="416"/>
      <c r="D868" s="403"/>
    </row>
    <row r="869" spans="1:4" x14ac:dyDescent="0.2">
      <c r="A869" s="416">
        <v>43581</v>
      </c>
      <c r="B869" s="403">
        <v>274493.84000000003</v>
      </c>
      <c r="C869" s="416"/>
      <c r="D869" s="403"/>
    </row>
    <row r="870" spans="1:4" x14ac:dyDescent="0.2">
      <c r="A870" s="416">
        <v>43584</v>
      </c>
      <c r="B870" s="403">
        <v>274494</v>
      </c>
      <c r="C870" s="416"/>
      <c r="D870" s="403"/>
    </row>
    <row r="871" spans="1:4" x14ac:dyDescent="0.2">
      <c r="A871" s="416">
        <v>43585</v>
      </c>
      <c r="B871" s="403">
        <v>268536.75</v>
      </c>
      <c r="C871" s="416"/>
      <c r="D871" s="403"/>
    </row>
    <row r="872" spans="1:4" x14ac:dyDescent="0.2">
      <c r="A872" s="416">
        <v>43586</v>
      </c>
      <c r="B872" s="403">
        <v>249086.1</v>
      </c>
      <c r="C872" s="416"/>
      <c r="D872" s="403"/>
    </row>
    <row r="873" spans="1:4" x14ac:dyDescent="0.2">
      <c r="A873" s="416">
        <v>43587</v>
      </c>
      <c r="B873" s="403">
        <v>253347.36</v>
      </c>
      <c r="C873" s="416"/>
      <c r="D873" s="403"/>
    </row>
    <row r="874" spans="1:4" x14ac:dyDescent="0.2">
      <c r="A874" s="416">
        <v>43588</v>
      </c>
      <c r="B874" s="403">
        <v>253347</v>
      </c>
      <c r="C874" s="416"/>
      <c r="D874" s="403"/>
    </row>
    <row r="875" spans="1:4" x14ac:dyDescent="0.2">
      <c r="A875" s="416">
        <v>43591</v>
      </c>
      <c r="B875" s="403">
        <v>253347</v>
      </c>
      <c r="C875" s="416"/>
      <c r="D875" s="403"/>
    </row>
    <row r="876" spans="1:4" x14ac:dyDescent="0.2">
      <c r="A876" s="416">
        <v>43592</v>
      </c>
      <c r="B876" s="403">
        <v>253347</v>
      </c>
      <c r="C876" s="416"/>
      <c r="D876" s="403"/>
    </row>
    <row r="877" spans="1:4" x14ac:dyDescent="0.2">
      <c r="A877" s="416">
        <v>43593</v>
      </c>
      <c r="B877" s="403">
        <v>253347</v>
      </c>
      <c r="C877" s="416"/>
      <c r="D877" s="403"/>
    </row>
    <row r="878" spans="1:4" x14ac:dyDescent="0.2">
      <c r="A878" s="416">
        <v>43594</v>
      </c>
      <c r="B878" s="403">
        <v>256363.47</v>
      </c>
      <c r="C878" s="416"/>
      <c r="D878" s="403"/>
    </row>
    <row r="879" spans="1:4" x14ac:dyDescent="0.2">
      <c r="A879" s="416">
        <v>43595</v>
      </c>
      <c r="B879" s="403">
        <v>256363</v>
      </c>
      <c r="C879" s="416"/>
      <c r="D879" s="403"/>
    </row>
    <row r="880" spans="1:4" x14ac:dyDescent="0.2">
      <c r="A880" s="416">
        <v>43598</v>
      </c>
      <c r="B880" s="403">
        <v>256363</v>
      </c>
      <c r="C880" s="416"/>
      <c r="D880" s="403"/>
    </row>
    <row r="881" spans="1:4" x14ac:dyDescent="0.2">
      <c r="A881" s="416">
        <v>43599</v>
      </c>
      <c r="B881" s="403">
        <v>220671.47</v>
      </c>
      <c r="C881" s="416"/>
      <c r="D881" s="403"/>
    </row>
    <row r="882" spans="1:4" x14ac:dyDescent="0.2">
      <c r="A882" s="416">
        <v>43600</v>
      </c>
      <c r="B882" s="403">
        <v>248680.89</v>
      </c>
      <c r="C882" s="416"/>
      <c r="D882" s="403"/>
    </row>
    <row r="883" spans="1:4" x14ac:dyDescent="0.2">
      <c r="A883" s="416">
        <v>43601</v>
      </c>
      <c r="B883" s="403">
        <v>254567.98</v>
      </c>
      <c r="C883" s="416"/>
      <c r="D883" s="403"/>
    </row>
    <row r="884" spans="1:4" x14ac:dyDescent="0.2">
      <c r="A884" s="416">
        <v>43602</v>
      </c>
      <c r="B884" s="403">
        <v>310563.12</v>
      </c>
      <c r="C884" s="416"/>
      <c r="D884" s="403"/>
    </row>
    <row r="885" spans="1:4" x14ac:dyDescent="0.2">
      <c r="A885" s="416">
        <v>43605</v>
      </c>
      <c r="B885" s="403">
        <v>310000.12</v>
      </c>
      <c r="C885" s="416"/>
      <c r="D885" s="403"/>
    </row>
    <row r="886" spans="1:4" x14ac:dyDescent="0.2">
      <c r="A886" s="416">
        <v>43606</v>
      </c>
      <c r="B886" s="403">
        <v>310000.12</v>
      </c>
      <c r="C886" s="416"/>
      <c r="D886" s="403"/>
    </row>
    <row r="887" spans="1:4" x14ac:dyDescent="0.2">
      <c r="A887" s="416">
        <v>43607</v>
      </c>
      <c r="B887" s="403">
        <v>310000.12</v>
      </c>
      <c r="C887" s="416"/>
      <c r="D887" s="403"/>
    </row>
    <row r="888" spans="1:4" x14ac:dyDescent="0.2">
      <c r="A888" s="416">
        <v>43608</v>
      </c>
      <c r="B888" s="403">
        <v>300109.28999999998</v>
      </c>
      <c r="C888" s="416"/>
      <c r="D888" s="403"/>
    </row>
    <row r="889" spans="1:4" x14ac:dyDescent="0.2">
      <c r="A889" s="416">
        <v>43609</v>
      </c>
      <c r="B889" s="403">
        <v>297396.90999999997</v>
      </c>
      <c r="C889" s="416"/>
      <c r="D889" s="403"/>
    </row>
    <row r="890" spans="1:4" x14ac:dyDescent="0.2">
      <c r="A890" s="416">
        <v>43612</v>
      </c>
      <c r="B890" s="403">
        <v>297397</v>
      </c>
      <c r="C890" s="416"/>
      <c r="D890" s="403"/>
    </row>
    <row r="891" spans="1:4" x14ac:dyDescent="0.2">
      <c r="A891" s="416">
        <v>43613</v>
      </c>
      <c r="B891" s="403">
        <v>309520.18</v>
      </c>
      <c r="C891" s="416"/>
      <c r="D891" s="403"/>
    </row>
    <row r="892" spans="1:4" x14ac:dyDescent="0.2">
      <c r="A892" s="416">
        <v>43614</v>
      </c>
      <c r="B892" s="403">
        <v>309520</v>
      </c>
      <c r="C892" s="416"/>
      <c r="D892" s="403"/>
    </row>
    <row r="893" spans="1:4" x14ac:dyDescent="0.2">
      <c r="A893" s="416">
        <v>43615</v>
      </c>
      <c r="B893" s="403">
        <v>306153.90000000002</v>
      </c>
      <c r="C893" s="416"/>
      <c r="D893" s="403"/>
    </row>
    <row r="894" spans="1:4" x14ac:dyDescent="0.2">
      <c r="A894" s="416">
        <v>43616</v>
      </c>
      <c r="B894" s="403">
        <v>307621.78000000003</v>
      </c>
      <c r="C894" s="416"/>
      <c r="D894" s="403"/>
    </row>
    <row r="895" spans="1:4" x14ac:dyDescent="0.2">
      <c r="A895" s="416">
        <v>43619</v>
      </c>
      <c r="B895" s="403">
        <v>307288.12</v>
      </c>
      <c r="C895" s="416"/>
      <c r="D895" s="403"/>
    </row>
    <row r="896" spans="1:4" x14ac:dyDescent="0.2">
      <c r="A896" s="416">
        <v>43620</v>
      </c>
      <c r="B896" s="403">
        <v>307288</v>
      </c>
      <c r="C896" s="416"/>
      <c r="D896" s="403"/>
    </row>
    <row r="897" spans="1:4" x14ac:dyDescent="0.2">
      <c r="A897" s="416">
        <v>43621</v>
      </c>
      <c r="B897" s="403">
        <v>307288</v>
      </c>
      <c r="C897" s="416"/>
      <c r="D897" s="403"/>
    </row>
    <row r="898" spans="1:4" x14ac:dyDescent="0.2">
      <c r="A898" s="416">
        <v>43622</v>
      </c>
      <c r="B898" s="403">
        <v>296580.19</v>
      </c>
      <c r="C898" s="416"/>
      <c r="D898" s="403"/>
    </row>
    <row r="899" spans="1:4" x14ac:dyDescent="0.2">
      <c r="A899" s="416">
        <v>43623</v>
      </c>
      <c r="B899" s="403">
        <v>295981.95</v>
      </c>
      <c r="C899" s="416"/>
      <c r="D899" s="403"/>
    </row>
    <row r="900" spans="1:4" x14ac:dyDescent="0.2">
      <c r="A900" s="416">
        <v>43626</v>
      </c>
      <c r="B900" s="403">
        <v>260513.06</v>
      </c>
      <c r="C900" s="416"/>
      <c r="D900" s="403"/>
    </row>
    <row r="901" spans="1:4" x14ac:dyDescent="0.2">
      <c r="A901" s="416">
        <v>43627</v>
      </c>
      <c r="B901" s="403">
        <v>260513</v>
      </c>
      <c r="C901" s="416"/>
      <c r="D901" s="403"/>
    </row>
    <row r="902" spans="1:4" x14ac:dyDescent="0.2">
      <c r="A902" s="416">
        <v>43628</v>
      </c>
      <c r="B902" s="403">
        <v>260513</v>
      </c>
      <c r="C902" s="416"/>
      <c r="D902" s="403"/>
    </row>
    <row r="903" spans="1:4" x14ac:dyDescent="0.2">
      <c r="A903" s="416">
        <v>43629</v>
      </c>
      <c r="B903" s="403">
        <v>255966.98</v>
      </c>
      <c r="C903" s="416"/>
      <c r="D903" s="403"/>
    </row>
    <row r="904" spans="1:4" x14ac:dyDescent="0.2">
      <c r="A904" s="416">
        <v>43630</v>
      </c>
      <c r="B904" s="403">
        <v>257507.94</v>
      </c>
      <c r="C904" s="416"/>
      <c r="D904" s="403"/>
    </row>
    <row r="905" spans="1:4" x14ac:dyDescent="0.2">
      <c r="A905" s="416">
        <v>43633</v>
      </c>
      <c r="B905" s="403">
        <v>257508</v>
      </c>
      <c r="C905" s="416"/>
      <c r="D905" s="403"/>
    </row>
    <row r="906" spans="1:4" x14ac:dyDescent="0.2">
      <c r="A906" s="416">
        <v>43634</v>
      </c>
      <c r="B906" s="403">
        <v>257508</v>
      </c>
      <c r="C906" s="416"/>
      <c r="D906" s="403"/>
    </row>
    <row r="907" spans="1:4" x14ac:dyDescent="0.2">
      <c r="A907" s="416">
        <v>43635</v>
      </c>
      <c r="B907" s="403">
        <v>257508</v>
      </c>
      <c r="C907" s="416"/>
      <c r="D907" s="403"/>
    </row>
    <row r="908" spans="1:4" x14ac:dyDescent="0.2">
      <c r="A908" s="416">
        <v>43636</v>
      </c>
      <c r="B908" s="403">
        <v>245601.94</v>
      </c>
      <c r="C908" s="416"/>
      <c r="D908" s="403"/>
    </row>
    <row r="909" spans="1:4" x14ac:dyDescent="0.2">
      <c r="A909" s="416">
        <v>43637</v>
      </c>
      <c r="B909" s="403">
        <v>245768.94</v>
      </c>
      <c r="C909" s="416"/>
      <c r="D909" s="403"/>
    </row>
    <row r="910" spans="1:4" x14ac:dyDescent="0.2">
      <c r="A910" s="416">
        <v>43640</v>
      </c>
      <c r="B910" s="403">
        <v>245769</v>
      </c>
      <c r="C910" s="416"/>
      <c r="D910" s="403"/>
    </row>
    <row r="911" spans="1:4" x14ac:dyDescent="0.2">
      <c r="A911" s="416">
        <v>43641</v>
      </c>
      <c r="B911" s="403">
        <v>209143.06</v>
      </c>
      <c r="C911" s="416"/>
      <c r="D911" s="403"/>
    </row>
    <row r="912" spans="1:4" x14ac:dyDescent="0.2">
      <c r="A912" s="416">
        <v>43642</v>
      </c>
      <c r="B912" s="403">
        <v>216087.16</v>
      </c>
      <c r="C912" s="416"/>
      <c r="D912" s="403"/>
    </row>
    <row r="913" spans="1:4" x14ac:dyDescent="0.2">
      <c r="A913" s="416">
        <v>43643</v>
      </c>
      <c r="B913" s="403">
        <v>218399.34</v>
      </c>
      <c r="C913" s="416"/>
      <c r="D913" s="403"/>
    </row>
    <row r="914" spans="1:4" x14ac:dyDescent="0.2">
      <c r="A914" s="416">
        <v>43644</v>
      </c>
      <c r="B914" s="403">
        <v>246675.15</v>
      </c>
      <c r="C914" s="416"/>
      <c r="D914" s="403"/>
    </row>
    <row r="915" spans="1:4" x14ac:dyDescent="0.2">
      <c r="A915" s="416">
        <v>43647</v>
      </c>
      <c r="B915" s="403">
        <v>246675</v>
      </c>
      <c r="C915" s="416"/>
      <c r="D915" s="403"/>
    </row>
    <row r="916" spans="1:4" x14ac:dyDescent="0.2">
      <c r="A916" s="416">
        <v>43648</v>
      </c>
      <c r="B916" s="403">
        <v>248377.32</v>
      </c>
      <c r="C916" s="416"/>
      <c r="D916" s="403"/>
    </row>
    <row r="917" spans="1:4" x14ac:dyDescent="0.2">
      <c r="A917" s="416">
        <v>43649</v>
      </c>
      <c r="B917" s="403">
        <v>277944.71000000002</v>
      </c>
      <c r="C917" s="416"/>
      <c r="D917" s="403"/>
    </row>
    <row r="918" spans="1:4" x14ac:dyDescent="0.2">
      <c r="A918" s="416">
        <v>43650</v>
      </c>
      <c r="B918" s="403">
        <v>277945</v>
      </c>
      <c r="C918" s="416"/>
      <c r="D918" s="403"/>
    </row>
    <row r="919" spans="1:4" x14ac:dyDescent="0.2">
      <c r="A919" s="416">
        <v>43651</v>
      </c>
      <c r="B919" s="403">
        <v>278046.71000000002</v>
      </c>
      <c r="C919" s="416"/>
      <c r="D919" s="403"/>
    </row>
    <row r="920" spans="1:4" x14ac:dyDescent="0.2">
      <c r="A920" s="416">
        <v>43654</v>
      </c>
      <c r="B920" s="403">
        <v>282590.19</v>
      </c>
      <c r="C920" s="416"/>
      <c r="D920" s="403"/>
    </row>
    <row r="921" spans="1:4" x14ac:dyDescent="0.2">
      <c r="A921" s="416">
        <v>43655</v>
      </c>
      <c r="B921" s="403">
        <v>247195.73</v>
      </c>
      <c r="C921" s="416"/>
      <c r="D921" s="403"/>
    </row>
    <row r="922" spans="1:4" x14ac:dyDescent="0.2">
      <c r="A922" s="416">
        <v>43656</v>
      </c>
      <c r="B922" s="403">
        <v>247195.73</v>
      </c>
      <c r="C922" s="416"/>
      <c r="D922" s="403"/>
    </row>
    <row r="923" spans="1:4" x14ac:dyDescent="0.2">
      <c r="A923" s="416">
        <v>43657</v>
      </c>
      <c r="B923" s="403">
        <v>235813.1</v>
      </c>
      <c r="C923" s="416"/>
      <c r="D923" s="403"/>
    </row>
    <row r="924" spans="1:4" x14ac:dyDescent="0.2">
      <c r="A924" s="416">
        <v>43658</v>
      </c>
      <c r="B924" s="403">
        <v>237210.07</v>
      </c>
      <c r="C924" s="416"/>
      <c r="D924" s="403"/>
    </row>
    <row r="925" spans="1:4" x14ac:dyDescent="0.2">
      <c r="A925" s="416">
        <v>43661</v>
      </c>
      <c r="B925" s="403">
        <v>237490.39</v>
      </c>
      <c r="C925" s="416"/>
      <c r="D925" s="403"/>
    </row>
    <row r="926" spans="1:4" x14ac:dyDescent="0.2">
      <c r="A926" s="416">
        <v>43662</v>
      </c>
      <c r="B926" s="403">
        <v>237490</v>
      </c>
      <c r="C926" s="416"/>
      <c r="D926" s="403"/>
    </row>
    <row r="927" spans="1:4" x14ac:dyDescent="0.2">
      <c r="A927" s="416">
        <v>43663</v>
      </c>
      <c r="B927" s="403">
        <v>237490.39</v>
      </c>
      <c r="C927" s="416"/>
      <c r="D927" s="403"/>
    </row>
    <row r="928" spans="1:4" x14ac:dyDescent="0.2">
      <c r="A928" s="416">
        <v>43664</v>
      </c>
      <c r="B928" s="403">
        <v>232593.57</v>
      </c>
      <c r="C928" s="416"/>
      <c r="D928" s="403"/>
    </row>
    <row r="929" spans="1:4" x14ac:dyDescent="0.2">
      <c r="A929" s="416">
        <v>43665</v>
      </c>
      <c r="B929" s="403">
        <v>232923.06</v>
      </c>
      <c r="C929" s="416"/>
      <c r="D929" s="403"/>
    </row>
    <row r="930" spans="1:4" x14ac:dyDescent="0.2">
      <c r="A930" s="416">
        <v>43668</v>
      </c>
      <c r="B930" s="403">
        <v>196798.51</v>
      </c>
      <c r="C930" s="416"/>
      <c r="D930" s="403"/>
    </row>
    <row r="931" spans="1:4" x14ac:dyDescent="0.2">
      <c r="A931" s="416">
        <v>43669</v>
      </c>
      <c r="B931" s="403">
        <v>199629.38</v>
      </c>
      <c r="C931" s="416"/>
      <c r="D931" s="403"/>
    </row>
    <row r="932" spans="1:4" x14ac:dyDescent="0.2">
      <c r="A932" s="416">
        <v>43670</v>
      </c>
      <c r="B932" s="403">
        <v>199629</v>
      </c>
      <c r="C932" s="416"/>
      <c r="D932" s="403"/>
    </row>
    <row r="933" spans="1:4" x14ac:dyDescent="0.2">
      <c r="A933" s="416">
        <v>43671</v>
      </c>
      <c r="B933" s="403">
        <v>195151.45</v>
      </c>
      <c r="C933" s="416"/>
      <c r="D933" s="403"/>
    </row>
    <row r="934" spans="1:4" x14ac:dyDescent="0.2">
      <c r="A934" s="416">
        <v>43672</v>
      </c>
      <c r="B934" s="403">
        <v>228843.78</v>
      </c>
      <c r="C934" s="416"/>
      <c r="D934" s="403"/>
    </row>
    <row r="935" spans="1:4" x14ac:dyDescent="0.2">
      <c r="A935" s="416">
        <v>43675</v>
      </c>
      <c r="B935" s="403">
        <v>228844</v>
      </c>
      <c r="C935" s="416"/>
      <c r="D935" s="403"/>
    </row>
    <row r="936" spans="1:4" x14ac:dyDescent="0.2">
      <c r="A936" s="416">
        <v>43676</v>
      </c>
      <c r="B936" s="403">
        <v>228844</v>
      </c>
      <c r="C936" s="416"/>
      <c r="D936" s="403"/>
    </row>
    <row r="937" spans="1:4" x14ac:dyDescent="0.2">
      <c r="A937" s="416">
        <v>43677</v>
      </c>
      <c r="B937" s="403">
        <v>229051.78</v>
      </c>
      <c r="C937" s="416"/>
      <c r="D937" s="403"/>
    </row>
    <row r="938" spans="1:4" x14ac:dyDescent="0.2">
      <c r="A938" s="416">
        <v>43678</v>
      </c>
      <c r="B938" s="403">
        <v>234767.17</v>
      </c>
      <c r="C938" s="416"/>
      <c r="D938" s="403"/>
    </row>
    <row r="939" spans="1:4" x14ac:dyDescent="0.2">
      <c r="A939" s="416">
        <v>43679</v>
      </c>
      <c r="B939" s="403">
        <v>236117.76000000001</v>
      </c>
      <c r="C939" s="416"/>
      <c r="D939" s="403"/>
    </row>
    <row r="940" spans="1:4" x14ac:dyDescent="0.2">
      <c r="A940" s="416">
        <v>43682</v>
      </c>
      <c r="B940" s="403">
        <v>236118</v>
      </c>
      <c r="C940" s="416"/>
      <c r="D940" s="403"/>
    </row>
    <row r="941" spans="1:4" x14ac:dyDescent="0.2">
      <c r="A941" s="416">
        <v>43683</v>
      </c>
      <c r="B941" s="403">
        <v>208888.5</v>
      </c>
      <c r="C941" s="416"/>
      <c r="D941" s="403"/>
    </row>
    <row r="942" spans="1:4" x14ac:dyDescent="0.2">
      <c r="A942" s="416">
        <v>43684</v>
      </c>
      <c r="B942" s="403">
        <v>208792.5</v>
      </c>
      <c r="C942" s="416"/>
      <c r="D942" s="403"/>
    </row>
    <row r="943" spans="1:4" x14ac:dyDescent="0.2">
      <c r="A943" s="416">
        <v>43685</v>
      </c>
      <c r="B943" s="403">
        <v>203219.37</v>
      </c>
      <c r="C943" s="416"/>
      <c r="D943" s="403"/>
    </row>
    <row r="944" spans="1:4" x14ac:dyDescent="0.2">
      <c r="A944" s="416">
        <v>43686</v>
      </c>
      <c r="B944" s="403">
        <v>205639.37</v>
      </c>
      <c r="C944" s="416"/>
      <c r="D944" s="403"/>
    </row>
    <row r="945" spans="1:4" x14ac:dyDescent="0.2">
      <c r="A945" s="416">
        <v>43689</v>
      </c>
      <c r="B945" s="403">
        <v>205639.37</v>
      </c>
      <c r="C945" s="416"/>
      <c r="D945" s="403"/>
    </row>
    <row r="946" spans="1:4" x14ac:dyDescent="0.2">
      <c r="A946" s="416">
        <v>43690</v>
      </c>
      <c r="B946" s="403">
        <v>232145.73</v>
      </c>
      <c r="C946" s="416"/>
      <c r="D946" s="403"/>
    </row>
    <row r="947" spans="1:4" x14ac:dyDescent="0.2">
      <c r="A947" s="416">
        <v>43691</v>
      </c>
      <c r="B947" s="403">
        <v>233325.32</v>
      </c>
      <c r="C947" s="416"/>
      <c r="D947" s="403"/>
    </row>
    <row r="948" spans="1:4" x14ac:dyDescent="0.2">
      <c r="A948" s="416">
        <v>43692</v>
      </c>
      <c r="B948" s="403">
        <v>225375.98</v>
      </c>
      <c r="C948" s="416"/>
      <c r="D948" s="403"/>
    </row>
    <row r="949" spans="1:4" x14ac:dyDescent="0.2">
      <c r="A949" s="416">
        <v>43693</v>
      </c>
      <c r="B949" s="403">
        <v>225424.1</v>
      </c>
      <c r="C949" s="416"/>
      <c r="D949" s="403"/>
    </row>
    <row r="950" spans="1:4" x14ac:dyDescent="0.2">
      <c r="A950" s="416">
        <v>43696</v>
      </c>
      <c r="B950" s="403">
        <v>187365.06</v>
      </c>
      <c r="C950" s="416"/>
      <c r="D950" s="403"/>
    </row>
    <row r="951" spans="1:4" x14ac:dyDescent="0.2">
      <c r="A951" s="416">
        <v>43697</v>
      </c>
      <c r="B951" s="403">
        <v>187365</v>
      </c>
      <c r="C951" s="416"/>
      <c r="D951" s="403"/>
    </row>
    <row r="952" spans="1:4" x14ac:dyDescent="0.2">
      <c r="A952" s="416">
        <v>43698</v>
      </c>
      <c r="B952" s="403">
        <v>187365</v>
      </c>
      <c r="C952" s="416"/>
      <c r="D952" s="403"/>
    </row>
    <row r="953" spans="1:4" x14ac:dyDescent="0.2">
      <c r="A953" s="416">
        <v>43699</v>
      </c>
      <c r="B953" s="444">
        <v>172667.6</v>
      </c>
      <c r="C953" s="416"/>
      <c r="D953" s="403"/>
    </row>
    <row r="954" spans="1:4" x14ac:dyDescent="0.2">
      <c r="A954" s="416">
        <v>43700</v>
      </c>
      <c r="B954" s="403">
        <v>172668</v>
      </c>
      <c r="C954" s="416"/>
      <c r="D954" s="403"/>
    </row>
    <row r="955" spans="1:4" x14ac:dyDescent="0.2">
      <c r="A955" s="416">
        <v>43703</v>
      </c>
      <c r="B955" s="403">
        <v>236616.35</v>
      </c>
      <c r="C955" s="416"/>
      <c r="D955" s="403"/>
    </row>
    <row r="956" spans="1:4" x14ac:dyDescent="0.2">
      <c r="A956" s="416">
        <v>43704</v>
      </c>
      <c r="B956" s="403">
        <v>237913.62</v>
      </c>
      <c r="C956" s="416"/>
      <c r="D956" s="403"/>
    </row>
    <row r="957" spans="1:4" x14ac:dyDescent="0.2">
      <c r="A957" s="416">
        <v>43705</v>
      </c>
      <c r="B957" s="403">
        <v>237914</v>
      </c>
      <c r="C957" s="416"/>
      <c r="D957" s="403"/>
    </row>
    <row r="958" spans="1:4" x14ac:dyDescent="0.2">
      <c r="A958" s="416">
        <v>43706</v>
      </c>
      <c r="B958" s="403">
        <v>244708.19</v>
      </c>
      <c r="C958" s="416"/>
      <c r="D958" s="403"/>
    </row>
    <row r="959" spans="1:4" x14ac:dyDescent="0.2">
      <c r="A959" s="416">
        <v>43707</v>
      </c>
      <c r="B959" s="403">
        <v>249899.19</v>
      </c>
      <c r="C959" s="416"/>
      <c r="D959" s="403"/>
    </row>
    <row r="960" spans="1:4" x14ac:dyDescent="0.2">
      <c r="A960" s="416">
        <v>43710</v>
      </c>
      <c r="B960" s="403">
        <v>249899</v>
      </c>
      <c r="C960" s="416"/>
      <c r="D960" s="403"/>
    </row>
    <row r="961" spans="1:4" x14ac:dyDescent="0.2">
      <c r="A961" s="416">
        <v>43711</v>
      </c>
      <c r="B961" s="403">
        <v>215930.73</v>
      </c>
      <c r="C961" s="416"/>
      <c r="D961" s="403"/>
    </row>
    <row r="962" spans="1:4" x14ac:dyDescent="0.2">
      <c r="A962" s="416">
        <v>43712</v>
      </c>
      <c r="B962" s="403">
        <v>215931</v>
      </c>
      <c r="C962" s="416"/>
      <c r="D962" s="403"/>
    </row>
    <row r="963" spans="1:4" x14ac:dyDescent="0.2">
      <c r="A963" s="416">
        <v>43713</v>
      </c>
      <c r="B963" s="403">
        <v>205664.34</v>
      </c>
      <c r="C963" s="416"/>
      <c r="D963" s="403"/>
    </row>
    <row r="964" spans="1:4" x14ac:dyDescent="0.2">
      <c r="A964" s="416">
        <v>43714</v>
      </c>
      <c r="B964" s="403">
        <v>205830.34</v>
      </c>
      <c r="C964" s="416"/>
      <c r="D964" s="403"/>
    </row>
    <row r="965" spans="1:4" x14ac:dyDescent="0.2">
      <c r="A965" s="416">
        <v>43717</v>
      </c>
      <c r="B965" s="403">
        <v>205830</v>
      </c>
      <c r="C965" s="416"/>
      <c r="D965" s="403"/>
    </row>
    <row r="966" spans="1:4" x14ac:dyDescent="0.2">
      <c r="A966" s="416">
        <v>43718</v>
      </c>
      <c r="B966" s="403">
        <v>205830</v>
      </c>
      <c r="C966" s="416"/>
      <c r="D966" s="403"/>
    </row>
    <row r="967" spans="1:4" x14ac:dyDescent="0.2">
      <c r="A967" s="416">
        <v>43719</v>
      </c>
      <c r="B967" s="403">
        <v>205830</v>
      </c>
      <c r="C967" s="416"/>
      <c r="D967" s="403"/>
    </row>
    <row r="968" spans="1:4" x14ac:dyDescent="0.2">
      <c r="A968" s="416">
        <v>43720</v>
      </c>
      <c r="B968" s="403">
        <v>207654.61</v>
      </c>
      <c r="C968" s="416"/>
      <c r="D968" s="403"/>
    </row>
    <row r="969" spans="1:4" x14ac:dyDescent="0.2">
      <c r="A969" s="416">
        <v>43721</v>
      </c>
      <c r="B969" s="403">
        <v>207743.24</v>
      </c>
      <c r="C969" s="416"/>
      <c r="D969" s="403"/>
    </row>
    <row r="970" spans="1:4" x14ac:dyDescent="0.2">
      <c r="A970" s="416">
        <v>43724</v>
      </c>
      <c r="B970" s="403">
        <v>207845.42</v>
      </c>
      <c r="C970" s="416"/>
      <c r="D970" s="403"/>
    </row>
    <row r="971" spans="1:4" x14ac:dyDescent="0.2">
      <c r="A971" s="416">
        <v>43725</v>
      </c>
      <c r="B971" s="403">
        <v>173840.8</v>
      </c>
      <c r="C971" s="416"/>
      <c r="D971" s="403"/>
    </row>
    <row r="972" spans="1:4" x14ac:dyDescent="0.2">
      <c r="A972" s="416">
        <v>43726</v>
      </c>
      <c r="B972" s="403">
        <v>212383.95</v>
      </c>
      <c r="C972" s="416"/>
      <c r="D972" s="403"/>
    </row>
    <row r="973" spans="1:4" x14ac:dyDescent="0.2">
      <c r="A973" s="416">
        <v>43727</v>
      </c>
      <c r="B973" s="403">
        <v>205191.98</v>
      </c>
      <c r="C973" s="416"/>
      <c r="D973" s="403"/>
    </row>
    <row r="974" spans="1:4" x14ac:dyDescent="0.2">
      <c r="A974" s="416">
        <v>43728</v>
      </c>
      <c r="B974" s="403">
        <v>205884.98</v>
      </c>
      <c r="C974" s="416"/>
      <c r="D974" s="403"/>
    </row>
    <row r="975" spans="1:4" x14ac:dyDescent="0.2">
      <c r="A975" s="416">
        <v>43731</v>
      </c>
      <c r="B975" s="403">
        <v>205884.98</v>
      </c>
      <c r="C975" s="416"/>
      <c r="D975" s="403"/>
    </row>
    <row r="976" spans="1:4" x14ac:dyDescent="0.2">
      <c r="A976" s="416">
        <v>43732</v>
      </c>
      <c r="B976" s="403">
        <v>205884.98</v>
      </c>
      <c r="C976" s="416"/>
      <c r="D976" s="403"/>
    </row>
    <row r="977" spans="1:4" x14ac:dyDescent="0.2">
      <c r="A977" s="416">
        <v>43733</v>
      </c>
      <c r="B977" s="403">
        <v>231641.34</v>
      </c>
      <c r="C977" s="416"/>
      <c r="D977" s="403"/>
    </row>
    <row r="978" spans="1:4" x14ac:dyDescent="0.2">
      <c r="A978" s="416">
        <v>43734</v>
      </c>
      <c r="B978" s="403">
        <v>236338.62</v>
      </c>
      <c r="C978" s="416"/>
      <c r="D978" s="403"/>
    </row>
    <row r="979" spans="1:4" x14ac:dyDescent="0.2">
      <c r="A979" s="416">
        <v>43735</v>
      </c>
      <c r="B979" s="403">
        <v>269514.5</v>
      </c>
      <c r="C979" s="416"/>
      <c r="D979" s="403"/>
    </row>
    <row r="980" spans="1:4" x14ac:dyDescent="0.2">
      <c r="A980" s="416">
        <v>43738</v>
      </c>
      <c r="B980" s="403">
        <v>287654.26</v>
      </c>
      <c r="C980" s="416"/>
      <c r="D980" s="403"/>
    </row>
    <row r="981" spans="1:4" x14ac:dyDescent="0.2">
      <c r="A981" s="416">
        <v>43739</v>
      </c>
      <c r="B981" s="403">
        <v>254047.41</v>
      </c>
      <c r="C981" s="416"/>
      <c r="D981" s="403"/>
    </row>
    <row r="982" spans="1:4" x14ac:dyDescent="0.2">
      <c r="A982" s="416">
        <v>43740</v>
      </c>
      <c r="B982" s="403">
        <v>254047</v>
      </c>
      <c r="C982" s="416"/>
      <c r="D982" s="403"/>
    </row>
    <row r="983" spans="1:4" x14ac:dyDescent="0.2">
      <c r="A983" s="416">
        <v>43741</v>
      </c>
      <c r="B983" s="403">
        <v>244596.04</v>
      </c>
      <c r="C983" s="416"/>
      <c r="D983" s="403"/>
    </row>
    <row r="984" spans="1:4" x14ac:dyDescent="0.2">
      <c r="A984" s="416">
        <v>43742</v>
      </c>
      <c r="B984" s="403">
        <v>244881.04</v>
      </c>
      <c r="C984" s="416"/>
      <c r="D984" s="403"/>
    </row>
    <row r="985" spans="1:4" x14ac:dyDescent="0.2">
      <c r="A985" s="416">
        <v>43745</v>
      </c>
      <c r="B985" s="403">
        <v>244881</v>
      </c>
      <c r="C985" s="416"/>
      <c r="D985" s="403"/>
    </row>
    <row r="986" spans="1:4" x14ac:dyDescent="0.2">
      <c r="A986" s="416">
        <v>43746</v>
      </c>
      <c r="B986" s="403">
        <v>244881</v>
      </c>
      <c r="C986" s="416"/>
      <c r="D986" s="403"/>
    </row>
    <row r="987" spans="1:4" x14ac:dyDescent="0.2">
      <c r="A987" s="416">
        <v>43747</v>
      </c>
      <c r="B987" s="403">
        <v>244881</v>
      </c>
      <c r="C987" s="416"/>
      <c r="D987" s="403"/>
    </row>
    <row r="988" spans="1:4" x14ac:dyDescent="0.2">
      <c r="A988" s="416">
        <v>43748</v>
      </c>
      <c r="B988" s="403">
        <v>247845.59</v>
      </c>
      <c r="C988" s="416"/>
      <c r="D988" s="403"/>
    </row>
    <row r="989" spans="1:4" x14ac:dyDescent="0.2">
      <c r="A989" s="416">
        <v>43749</v>
      </c>
      <c r="B989" s="403">
        <v>247846</v>
      </c>
      <c r="C989" s="416"/>
      <c r="D989" s="403"/>
    </row>
    <row r="990" spans="1:4" x14ac:dyDescent="0.2">
      <c r="A990" s="416">
        <v>43752</v>
      </c>
      <c r="B990" s="403">
        <v>247846</v>
      </c>
      <c r="C990" s="416"/>
      <c r="D990" s="403"/>
    </row>
    <row r="991" spans="1:4" x14ac:dyDescent="0.2">
      <c r="A991" s="416">
        <v>43753</v>
      </c>
      <c r="B991" s="403">
        <v>183161.53</v>
      </c>
      <c r="C991" s="416"/>
      <c r="D991" s="403"/>
    </row>
    <row r="992" spans="1:4" x14ac:dyDescent="0.2">
      <c r="A992" s="416">
        <v>43754</v>
      </c>
      <c r="B992" s="403">
        <v>185786.19</v>
      </c>
      <c r="C992" s="416"/>
      <c r="D992" s="403"/>
    </row>
    <row r="993" spans="1:4" x14ac:dyDescent="0.2">
      <c r="A993" s="416">
        <v>43755</v>
      </c>
      <c r="B993" s="403">
        <v>160581.73000000001</v>
      </c>
      <c r="C993" s="416"/>
      <c r="D993" s="403"/>
    </row>
    <row r="994" spans="1:4" x14ac:dyDescent="0.2">
      <c r="A994" s="416">
        <v>43756</v>
      </c>
      <c r="B994" s="403">
        <v>160581.73000000001</v>
      </c>
      <c r="C994" s="416"/>
      <c r="D994" s="403"/>
    </row>
    <row r="995" spans="1:4" x14ac:dyDescent="0.2">
      <c r="A995" s="416">
        <v>43759</v>
      </c>
      <c r="B995" s="403">
        <v>160581.73000000001</v>
      </c>
      <c r="C995" s="416"/>
      <c r="D995" s="403"/>
    </row>
    <row r="996" spans="1:4" x14ac:dyDescent="0.2">
      <c r="A996" s="416">
        <v>43760</v>
      </c>
      <c r="B996" s="403">
        <v>160581.73000000001</v>
      </c>
      <c r="C996" s="416"/>
      <c r="D996" s="403"/>
    </row>
    <row r="997" spans="1:4" x14ac:dyDescent="0.2">
      <c r="A997" s="416">
        <v>43761</v>
      </c>
      <c r="B997" s="403">
        <v>171996.42</v>
      </c>
      <c r="C997" s="416"/>
      <c r="D997" s="403"/>
    </row>
    <row r="998" spans="1:4" x14ac:dyDescent="0.2">
      <c r="A998" s="416">
        <v>43762</v>
      </c>
      <c r="B998" s="403">
        <v>167352.24</v>
      </c>
      <c r="C998" s="416"/>
      <c r="D998" s="403"/>
    </row>
    <row r="999" spans="1:4" x14ac:dyDescent="0.2">
      <c r="A999" s="416">
        <v>43763</v>
      </c>
      <c r="B999" s="403">
        <v>166766.24</v>
      </c>
      <c r="C999" s="416"/>
      <c r="D999" s="403"/>
    </row>
    <row r="1000" spans="1:4" x14ac:dyDescent="0.2">
      <c r="A1000" s="416">
        <v>43766</v>
      </c>
      <c r="B1000" s="444">
        <v>129051.26</v>
      </c>
      <c r="C1000" s="416"/>
      <c r="D1000" s="403"/>
    </row>
    <row r="1001" spans="1:4" x14ac:dyDescent="0.2">
      <c r="A1001" s="416">
        <v>43767</v>
      </c>
      <c r="B1001" s="403">
        <v>132306.64000000001</v>
      </c>
      <c r="C1001" s="416"/>
      <c r="D1001" s="403"/>
    </row>
    <row r="1002" spans="1:4" x14ac:dyDescent="0.2">
      <c r="A1002" s="416">
        <v>43768</v>
      </c>
      <c r="B1002" s="403">
        <v>181475.08</v>
      </c>
      <c r="C1002" s="416"/>
      <c r="D1002" s="403"/>
    </row>
    <row r="1003" spans="1:4" x14ac:dyDescent="0.2">
      <c r="A1003" s="416">
        <v>43769</v>
      </c>
      <c r="B1003" s="403">
        <v>169335.94</v>
      </c>
      <c r="C1003" s="416"/>
      <c r="D1003" s="403"/>
    </row>
    <row r="1004" spans="1:4" x14ac:dyDescent="0.2">
      <c r="A1004" s="416">
        <v>43770</v>
      </c>
      <c r="B1004" s="403">
        <v>171521.13</v>
      </c>
      <c r="C1004" s="416"/>
      <c r="D1004" s="403"/>
    </row>
    <row r="1005" spans="1:4" x14ac:dyDescent="0.2">
      <c r="A1005" s="416">
        <v>43773</v>
      </c>
      <c r="B1005" s="403">
        <v>171521</v>
      </c>
      <c r="C1005" s="416"/>
      <c r="D1005" s="403"/>
    </row>
    <row r="1006" spans="1:4" x14ac:dyDescent="0.2">
      <c r="A1006" s="416">
        <v>43774</v>
      </c>
      <c r="B1006" s="403">
        <v>171521</v>
      </c>
      <c r="C1006" s="416"/>
      <c r="D1006" s="403"/>
    </row>
    <row r="1007" spans="1:4" x14ac:dyDescent="0.2">
      <c r="A1007" s="416">
        <v>43775</v>
      </c>
      <c r="B1007" s="403">
        <v>201934.13</v>
      </c>
      <c r="C1007" s="416"/>
      <c r="D1007" s="403"/>
    </row>
    <row r="1008" spans="1:4" x14ac:dyDescent="0.2">
      <c r="A1008" s="416">
        <v>43776</v>
      </c>
      <c r="B1008" s="403">
        <v>198457.3</v>
      </c>
      <c r="C1008" s="416"/>
      <c r="D1008" s="403"/>
    </row>
    <row r="1009" spans="1:4" x14ac:dyDescent="0.2">
      <c r="A1009" s="416">
        <v>43777</v>
      </c>
      <c r="B1009" s="403">
        <v>198457</v>
      </c>
      <c r="C1009" s="416"/>
      <c r="D1009" s="403"/>
    </row>
    <row r="1010" spans="1:4" x14ac:dyDescent="0.2">
      <c r="A1010" s="416">
        <v>43780</v>
      </c>
      <c r="B1010" s="403">
        <v>164046.53</v>
      </c>
      <c r="C1010" s="416"/>
      <c r="D1010" s="403"/>
    </row>
    <row r="1011" spans="1:4" x14ac:dyDescent="0.2">
      <c r="A1011" s="416">
        <v>43781</v>
      </c>
      <c r="B1011" s="403">
        <v>164047</v>
      </c>
      <c r="C1011" s="416"/>
      <c r="D1011" s="403"/>
    </row>
    <row r="1012" spans="1:4" x14ac:dyDescent="0.2">
      <c r="A1012" s="416">
        <v>43782</v>
      </c>
      <c r="B1012" s="403">
        <v>198779.19</v>
      </c>
      <c r="C1012" s="416"/>
      <c r="D1012" s="403"/>
    </row>
    <row r="1013" spans="1:4" x14ac:dyDescent="0.2">
      <c r="A1013" s="416">
        <v>43783</v>
      </c>
      <c r="B1013" s="403">
        <v>188221.13</v>
      </c>
      <c r="C1013" s="416"/>
      <c r="D1013" s="403"/>
    </row>
    <row r="1014" spans="1:4" x14ac:dyDescent="0.2">
      <c r="A1014" s="416">
        <v>43784</v>
      </c>
      <c r="B1014" s="403">
        <v>190279.89</v>
      </c>
      <c r="C1014" s="416"/>
      <c r="D1014" s="403"/>
    </row>
    <row r="1015" spans="1:4" x14ac:dyDescent="0.2">
      <c r="A1015" s="416">
        <v>43787</v>
      </c>
      <c r="B1015" s="403">
        <v>190179.89</v>
      </c>
      <c r="C1015" s="416"/>
      <c r="D1015" s="403"/>
    </row>
    <row r="1016" spans="1:4" x14ac:dyDescent="0.2">
      <c r="A1016" s="416">
        <v>43788</v>
      </c>
      <c r="B1016" s="403">
        <v>190180</v>
      </c>
      <c r="C1016" s="416"/>
      <c r="D1016" s="403"/>
    </row>
    <row r="1017" spans="1:4" x14ac:dyDescent="0.2">
      <c r="A1017" s="416">
        <v>43789</v>
      </c>
      <c r="B1017" s="403">
        <v>190180</v>
      </c>
      <c r="C1017" s="416"/>
      <c r="D1017" s="403"/>
    </row>
    <row r="1018" spans="1:4" x14ac:dyDescent="0.2">
      <c r="A1018" s="416">
        <v>43790</v>
      </c>
      <c r="B1018" s="403">
        <v>188919.3</v>
      </c>
      <c r="C1018" s="416"/>
      <c r="D1018" s="403"/>
    </row>
    <row r="1019" spans="1:4" x14ac:dyDescent="0.2">
      <c r="A1019" s="416">
        <v>43791</v>
      </c>
      <c r="B1019" s="403">
        <v>188919</v>
      </c>
      <c r="C1019" s="416"/>
      <c r="D1019" s="403"/>
    </row>
    <row r="1020" spans="1:4" x14ac:dyDescent="0.2">
      <c r="A1020" s="416">
        <v>43794</v>
      </c>
      <c r="B1020" s="403">
        <v>153349.64000000001</v>
      </c>
      <c r="C1020" s="416"/>
      <c r="D1020" s="403"/>
    </row>
    <row r="1021" spans="1:4" x14ac:dyDescent="0.2">
      <c r="A1021" s="416">
        <v>43795</v>
      </c>
      <c r="B1021" s="403">
        <v>153226.64000000001</v>
      </c>
      <c r="C1021" s="416"/>
      <c r="D1021" s="403"/>
    </row>
    <row r="1022" spans="1:4" x14ac:dyDescent="0.2">
      <c r="A1022" s="416">
        <v>43796</v>
      </c>
      <c r="B1022" s="403">
        <v>154369.64000000001</v>
      </c>
      <c r="C1022" s="416"/>
      <c r="D1022" s="403"/>
    </row>
    <row r="1023" spans="1:4" x14ac:dyDescent="0.2">
      <c r="A1023" s="416">
        <v>43797</v>
      </c>
      <c r="B1023" s="403">
        <v>154370</v>
      </c>
      <c r="C1023" s="416"/>
      <c r="D1023" s="403"/>
    </row>
    <row r="1024" spans="1:4" x14ac:dyDescent="0.2">
      <c r="A1024" s="416">
        <v>43798</v>
      </c>
      <c r="B1024" s="403">
        <v>237011.17</v>
      </c>
      <c r="C1024" s="416"/>
      <c r="D1024" s="403"/>
    </row>
    <row r="1025" spans="1:4" x14ac:dyDescent="0.2">
      <c r="A1025" s="416">
        <v>43801</v>
      </c>
      <c r="B1025" s="403">
        <v>237011</v>
      </c>
      <c r="C1025" s="416"/>
      <c r="D1025" s="403"/>
    </row>
    <row r="1026" spans="1:4" x14ac:dyDescent="0.2">
      <c r="A1026" s="416">
        <v>43802</v>
      </c>
      <c r="B1026" s="403">
        <v>237011</v>
      </c>
      <c r="C1026" s="416"/>
      <c r="D1026" s="403"/>
    </row>
    <row r="1027" spans="1:4" x14ac:dyDescent="0.2">
      <c r="A1027" s="416">
        <v>43803</v>
      </c>
      <c r="B1027" s="403">
        <v>237011</v>
      </c>
      <c r="C1027" s="416"/>
      <c r="D1027" s="403"/>
    </row>
    <row r="1028" spans="1:4" x14ac:dyDescent="0.2">
      <c r="A1028" s="416">
        <v>43804</v>
      </c>
      <c r="B1028" s="403">
        <v>229967.75</v>
      </c>
      <c r="C1028" s="416"/>
      <c r="D1028" s="403"/>
    </row>
    <row r="1029" spans="1:4" x14ac:dyDescent="0.2">
      <c r="A1029" s="416">
        <v>43805</v>
      </c>
      <c r="B1029" s="403">
        <v>229968</v>
      </c>
      <c r="C1029" s="416"/>
      <c r="D1029" s="403"/>
    </row>
    <row r="1030" spans="1:4" x14ac:dyDescent="0.2">
      <c r="A1030" s="416">
        <v>43808</v>
      </c>
      <c r="B1030" s="403">
        <v>193352.99</v>
      </c>
      <c r="C1030" s="416"/>
      <c r="D1030" s="403"/>
    </row>
    <row r="1031" spans="1:4" x14ac:dyDescent="0.2">
      <c r="A1031" s="416">
        <v>43809</v>
      </c>
      <c r="B1031" s="403">
        <v>193629.99</v>
      </c>
      <c r="C1031" s="416"/>
      <c r="D1031" s="403"/>
    </row>
    <row r="1032" spans="1:4" x14ac:dyDescent="0.2">
      <c r="A1032" s="416">
        <v>43810</v>
      </c>
      <c r="B1032" s="403">
        <v>193630</v>
      </c>
      <c r="C1032" s="416"/>
      <c r="D1032" s="403"/>
    </row>
    <row r="1033" spans="1:4" x14ac:dyDescent="0.2">
      <c r="A1033" s="416">
        <v>43811</v>
      </c>
      <c r="B1033" s="403">
        <v>193945</v>
      </c>
      <c r="C1033" s="416"/>
      <c r="D1033" s="403"/>
    </row>
    <row r="1034" spans="1:4" x14ac:dyDescent="0.2">
      <c r="A1034" s="416">
        <v>43812</v>
      </c>
      <c r="B1034" s="403">
        <v>196370.92</v>
      </c>
      <c r="C1034" s="416"/>
      <c r="D1034" s="403"/>
    </row>
    <row r="1035" spans="1:4" x14ac:dyDescent="0.2">
      <c r="A1035" s="416">
        <v>43815</v>
      </c>
      <c r="B1035" s="403">
        <v>196370.92</v>
      </c>
      <c r="C1035" s="416"/>
      <c r="D1035" s="403"/>
    </row>
    <row r="1036" spans="1:4" x14ac:dyDescent="0.2">
      <c r="A1036" s="416">
        <v>43816</v>
      </c>
      <c r="B1036" s="403">
        <v>196370.92</v>
      </c>
      <c r="C1036" s="416"/>
      <c r="D1036" s="403"/>
    </row>
    <row r="1037" spans="1:4" x14ac:dyDescent="0.2">
      <c r="A1037" s="416">
        <v>43817</v>
      </c>
      <c r="B1037" s="403">
        <v>196370.92</v>
      </c>
      <c r="C1037" s="416"/>
      <c r="D1037" s="403"/>
    </row>
    <row r="1038" spans="1:4" x14ac:dyDescent="0.2">
      <c r="A1038" s="416">
        <v>43818</v>
      </c>
      <c r="B1038" s="403">
        <v>194997.56</v>
      </c>
      <c r="C1038" s="416"/>
      <c r="D1038" s="403"/>
    </row>
    <row r="1039" spans="1:4" x14ac:dyDescent="0.2">
      <c r="A1039" s="416">
        <v>43819</v>
      </c>
      <c r="B1039" s="403">
        <v>194998</v>
      </c>
      <c r="C1039" s="416"/>
      <c r="D1039" s="403"/>
    </row>
    <row r="1040" spans="1:4" x14ac:dyDescent="0.2">
      <c r="A1040" s="416">
        <v>43822</v>
      </c>
      <c r="B1040" s="403">
        <v>158280.26999999999</v>
      </c>
      <c r="C1040" s="416"/>
      <c r="D1040" s="403"/>
    </row>
    <row r="1041" spans="1:4" x14ac:dyDescent="0.2">
      <c r="A1041" s="416">
        <v>43823</v>
      </c>
      <c r="B1041" s="403">
        <v>163840.26999999999</v>
      </c>
      <c r="C1041" s="416"/>
      <c r="D1041" s="403"/>
    </row>
    <row r="1042" spans="1:4" x14ac:dyDescent="0.2">
      <c r="A1042" s="416">
        <v>43824</v>
      </c>
      <c r="B1042" s="403">
        <v>163840</v>
      </c>
      <c r="C1042" s="416"/>
      <c r="D1042" s="403"/>
    </row>
    <row r="1043" spans="1:4" x14ac:dyDescent="0.2">
      <c r="A1043" s="416">
        <v>43825</v>
      </c>
      <c r="B1043" s="403">
        <v>213174.46</v>
      </c>
      <c r="C1043" s="416"/>
      <c r="D1043" s="403"/>
    </row>
    <row r="1044" spans="1:4" x14ac:dyDescent="0.2">
      <c r="A1044" s="416">
        <v>43826</v>
      </c>
      <c r="B1044" s="403">
        <v>212851.46</v>
      </c>
      <c r="C1044" s="416"/>
      <c r="D1044" s="403"/>
    </row>
    <row r="1045" spans="1:4" x14ac:dyDescent="0.2">
      <c r="A1045" s="416">
        <v>43829</v>
      </c>
      <c r="B1045" s="403">
        <v>212221.74</v>
      </c>
      <c r="C1045" s="416"/>
      <c r="D1045" s="403"/>
    </row>
    <row r="1046" spans="1:4" x14ac:dyDescent="0.2">
      <c r="A1046" s="416">
        <v>43830</v>
      </c>
      <c r="B1046" s="403">
        <v>189055.83</v>
      </c>
      <c r="C1046" s="416"/>
      <c r="D1046" s="403"/>
    </row>
    <row r="1047" spans="1:4" ht="15" x14ac:dyDescent="0.25">
      <c r="A1047" s="592">
        <v>43831</v>
      </c>
      <c r="B1047" s="403">
        <v>189056</v>
      </c>
      <c r="C1047" s="416"/>
      <c r="D1047" s="403"/>
    </row>
    <row r="1048" spans="1:4" ht="15" x14ac:dyDescent="0.25">
      <c r="A1048" s="592">
        <v>43832</v>
      </c>
      <c r="B1048" s="403">
        <v>206403.28</v>
      </c>
      <c r="C1048" s="416"/>
      <c r="D1048" s="403"/>
    </row>
    <row r="1049" spans="1:4" ht="15" x14ac:dyDescent="0.25">
      <c r="A1049" s="592">
        <v>43833</v>
      </c>
      <c r="B1049" s="403">
        <v>206217.28</v>
      </c>
      <c r="C1049" s="416"/>
      <c r="D1049" s="403"/>
    </row>
    <row r="1050" spans="1:4" ht="15" x14ac:dyDescent="0.25">
      <c r="A1050" s="592">
        <v>43836</v>
      </c>
      <c r="B1050" s="403">
        <v>206129.28</v>
      </c>
      <c r="C1050" s="416"/>
      <c r="D1050" s="403"/>
    </row>
    <row r="1051" spans="1:4" ht="15" x14ac:dyDescent="0.25">
      <c r="A1051" s="592">
        <v>43837</v>
      </c>
      <c r="B1051" s="403">
        <v>172858.39</v>
      </c>
      <c r="C1051" s="416"/>
      <c r="D1051" s="403"/>
    </row>
    <row r="1052" spans="1:4" ht="15" x14ac:dyDescent="0.25">
      <c r="A1052" s="592">
        <v>43838</v>
      </c>
      <c r="B1052" s="403">
        <v>172585</v>
      </c>
      <c r="C1052" s="416"/>
      <c r="D1052" s="403"/>
    </row>
    <row r="1053" spans="1:4" ht="15" x14ac:dyDescent="0.25">
      <c r="A1053" s="592">
        <v>43839</v>
      </c>
      <c r="B1053" s="403">
        <v>184752.38</v>
      </c>
      <c r="C1053" s="416"/>
      <c r="D1053" s="403"/>
    </row>
    <row r="1054" spans="1:4" ht="15" x14ac:dyDescent="0.25">
      <c r="A1054" s="592">
        <v>43840</v>
      </c>
      <c r="B1054" s="403">
        <v>199849.93</v>
      </c>
      <c r="C1054" s="416"/>
      <c r="D1054" s="403"/>
    </row>
    <row r="1055" spans="1:4" ht="15" x14ac:dyDescent="0.25">
      <c r="A1055" s="592">
        <v>43843</v>
      </c>
      <c r="B1055" s="403">
        <v>199850</v>
      </c>
      <c r="C1055" s="416"/>
      <c r="D1055" s="403"/>
    </row>
    <row r="1056" spans="1:4" ht="15" x14ac:dyDescent="0.25">
      <c r="A1056" s="592">
        <v>43844</v>
      </c>
      <c r="B1056" s="403">
        <v>199850</v>
      </c>
      <c r="C1056" s="416"/>
      <c r="D1056" s="403"/>
    </row>
    <row r="1057" spans="1:4" ht="15" x14ac:dyDescent="0.25">
      <c r="A1057" s="592">
        <v>43845</v>
      </c>
      <c r="B1057" s="403">
        <v>199942.09</v>
      </c>
      <c r="C1057" s="416"/>
      <c r="D1057" s="403"/>
    </row>
    <row r="1058" spans="1:4" ht="15" x14ac:dyDescent="0.25">
      <c r="A1058" s="592">
        <v>43846</v>
      </c>
      <c r="B1058" s="403">
        <v>197586.14</v>
      </c>
      <c r="C1058" s="416"/>
      <c r="D1058" s="403"/>
    </row>
    <row r="1059" spans="1:4" ht="15" x14ac:dyDescent="0.25">
      <c r="A1059" s="592">
        <v>43847</v>
      </c>
      <c r="B1059" s="403">
        <v>197586</v>
      </c>
      <c r="C1059" s="416"/>
      <c r="D1059" s="403"/>
    </row>
    <row r="1060" spans="1:4" ht="15" x14ac:dyDescent="0.25">
      <c r="A1060" s="592">
        <v>43850</v>
      </c>
      <c r="B1060" s="403">
        <v>197586</v>
      </c>
      <c r="C1060" s="416"/>
      <c r="D1060" s="403"/>
    </row>
    <row r="1061" spans="1:4" ht="15" x14ac:dyDescent="0.25">
      <c r="A1061" s="592">
        <v>43851</v>
      </c>
      <c r="B1061" s="403">
        <v>160213.23000000001</v>
      </c>
      <c r="C1061" s="416"/>
      <c r="D1061" s="403"/>
    </row>
    <row r="1062" spans="1:4" ht="15" x14ac:dyDescent="0.25">
      <c r="A1062" s="592">
        <v>43852</v>
      </c>
      <c r="B1062" s="403">
        <v>160213</v>
      </c>
      <c r="C1062" s="416"/>
      <c r="D1062" s="403"/>
    </row>
    <row r="1063" spans="1:4" ht="15" x14ac:dyDescent="0.25">
      <c r="A1063" s="592">
        <v>43853</v>
      </c>
      <c r="B1063" s="403">
        <v>178835.97</v>
      </c>
      <c r="C1063" s="416"/>
      <c r="D1063" s="403"/>
    </row>
    <row r="1064" spans="1:4" ht="15" x14ac:dyDescent="0.25">
      <c r="A1064" s="592">
        <v>43854</v>
      </c>
      <c r="B1064" s="403">
        <v>177774.06</v>
      </c>
      <c r="C1064" s="416"/>
      <c r="D1064" s="403"/>
    </row>
    <row r="1065" spans="1:4" ht="15" x14ac:dyDescent="0.25">
      <c r="A1065" s="592">
        <v>43857</v>
      </c>
      <c r="B1065" s="403">
        <v>177774</v>
      </c>
      <c r="C1065" s="416"/>
      <c r="D1065" s="403"/>
    </row>
    <row r="1066" spans="1:4" ht="15" x14ac:dyDescent="0.25">
      <c r="A1066" s="592">
        <v>43858</v>
      </c>
      <c r="B1066" s="403">
        <v>177774</v>
      </c>
      <c r="C1066" s="416"/>
      <c r="D1066" s="403"/>
    </row>
    <row r="1067" spans="1:4" ht="15" x14ac:dyDescent="0.25">
      <c r="A1067" s="592">
        <v>43859</v>
      </c>
      <c r="B1067" s="403">
        <v>253459.84</v>
      </c>
      <c r="C1067" s="416"/>
      <c r="D1067" s="403"/>
    </row>
    <row r="1068" spans="1:4" ht="15" x14ac:dyDescent="0.25">
      <c r="A1068" s="592">
        <v>43860</v>
      </c>
      <c r="B1068" s="403">
        <v>235320.22</v>
      </c>
      <c r="C1068" s="416"/>
      <c r="D1068" s="403"/>
    </row>
    <row r="1069" spans="1:4" ht="15" x14ac:dyDescent="0.25">
      <c r="A1069" s="592">
        <v>43861</v>
      </c>
      <c r="B1069" s="403">
        <v>235320</v>
      </c>
      <c r="C1069" s="416"/>
      <c r="D1069" s="403"/>
    </row>
    <row r="1070" spans="1:4" ht="15" x14ac:dyDescent="0.25">
      <c r="A1070" s="592">
        <v>43864</v>
      </c>
      <c r="B1070" s="403">
        <v>198483.96</v>
      </c>
      <c r="C1070" s="416"/>
      <c r="D1070" s="403"/>
    </row>
    <row r="1071" spans="1:4" ht="15" x14ac:dyDescent="0.25">
      <c r="A1071" s="592">
        <v>43865</v>
      </c>
      <c r="B1071" s="403">
        <v>212819.68</v>
      </c>
      <c r="C1071" s="416"/>
      <c r="D1071" s="403"/>
    </row>
    <row r="1072" spans="1:4" ht="15" x14ac:dyDescent="0.25">
      <c r="A1072" s="592">
        <v>43866</v>
      </c>
      <c r="B1072" s="403">
        <v>212820</v>
      </c>
      <c r="C1072" s="416"/>
      <c r="D1072" s="403"/>
    </row>
    <row r="1073" spans="1:4" ht="15" x14ac:dyDescent="0.25">
      <c r="A1073" s="592">
        <v>43867</v>
      </c>
      <c r="B1073" s="403">
        <v>212584.24</v>
      </c>
      <c r="C1073" s="416"/>
      <c r="D1073" s="403"/>
    </row>
    <row r="1074" spans="1:4" ht="15" x14ac:dyDescent="0.25">
      <c r="A1074" s="592">
        <v>43868</v>
      </c>
      <c r="B1074" s="403">
        <v>270092.23</v>
      </c>
      <c r="C1074" s="416"/>
      <c r="D1074" s="403"/>
    </row>
    <row r="1075" spans="1:4" ht="15" x14ac:dyDescent="0.25">
      <c r="A1075" s="592">
        <v>43871</v>
      </c>
      <c r="B1075" s="403">
        <v>270092</v>
      </c>
      <c r="C1075" s="416"/>
      <c r="D1075" s="403"/>
    </row>
    <row r="1076" spans="1:4" ht="15" x14ac:dyDescent="0.25">
      <c r="A1076" s="592">
        <v>43872</v>
      </c>
      <c r="B1076" s="403">
        <v>273133.13</v>
      </c>
      <c r="C1076" s="416"/>
      <c r="D1076" s="403"/>
    </row>
    <row r="1077" spans="1:4" ht="15" x14ac:dyDescent="0.25">
      <c r="A1077" s="592">
        <v>43873</v>
      </c>
      <c r="B1077" s="403">
        <v>273133</v>
      </c>
      <c r="C1077" s="416"/>
      <c r="D1077" s="403"/>
    </row>
    <row r="1078" spans="1:4" ht="15" x14ac:dyDescent="0.25">
      <c r="A1078" s="592">
        <v>43874</v>
      </c>
      <c r="B1078" s="403">
        <v>280484.09000000003</v>
      </c>
      <c r="C1078" s="416"/>
      <c r="D1078" s="403"/>
    </row>
    <row r="1079" spans="1:4" ht="15" x14ac:dyDescent="0.25">
      <c r="A1079" s="592">
        <v>43875</v>
      </c>
      <c r="B1079" s="403">
        <v>279225.67</v>
      </c>
      <c r="C1079" s="416"/>
      <c r="D1079" s="403"/>
    </row>
    <row r="1080" spans="1:4" ht="15" x14ac:dyDescent="0.25">
      <c r="A1080" s="592">
        <v>43878</v>
      </c>
      <c r="B1080" s="403">
        <v>279226</v>
      </c>
      <c r="C1080" s="416"/>
      <c r="D1080" s="403"/>
    </row>
    <row r="1081" spans="1:4" ht="15" x14ac:dyDescent="0.25">
      <c r="A1081" s="592">
        <v>43879</v>
      </c>
      <c r="B1081" s="403">
        <v>241740.68</v>
      </c>
      <c r="C1081" s="416"/>
      <c r="D1081" s="403"/>
    </row>
    <row r="1082" spans="1:4" ht="15" x14ac:dyDescent="0.25">
      <c r="A1082" s="592">
        <v>43880</v>
      </c>
      <c r="B1082" s="403">
        <v>268478</v>
      </c>
      <c r="C1082" s="416"/>
      <c r="D1082" s="403"/>
    </row>
    <row r="1083" spans="1:4" ht="15" x14ac:dyDescent="0.25">
      <c r="A1083" s="592">
        <v>43881</v>
      </c>
      <c r="B1083" s="403">
        <v>258524.93</v>
      </c>
      <c r="C1083" s="416"/>
      <c r="D1083" s="403"/>
    </row>
    <row r="1084" spans="1:4" ht="15" x14ac:dyDescent="0.25">
      <c r="A1084" s="592">
        <v>43882</v>
      </c>
      <c r="B1084" s="403">
        <v>277316.53000000003</v>
      </c>
      <c r="C1084" s="416"/>
      <c r="D1084" s="403"/>
    </row>
    <row r="1085" spans="1:4" ht="15" x14ac:dyDescent="0.25">
      <c r="A1085" s="592">
        <v>43885</v>
      </c>
      <c r="B1085" s="403">
        <v>277317</v>
      </c>
      <c r="C1085" s="416"/>
      <c r="D1085" s="403"/>
    </row>
    <row r="1086" spans="1:4" ht="15" x14ac:dyDescent="0.25">
      <c r="A1086" s="592">
        <v>43886</v>
      </c>
      <c r="B1086" s="403">
        <v>279881.78999999998</v>
      </c>
      <c r="C1086" s="416"/>
      <c r="D1086" s="403"/>
    </row>
    <row r="1087" spans="1:4" ht="15" x14ac:dyDescent="0.25">
      <c r="A1087" s="592">
        <v>43887</v>
      </c>
      <c r="B1087" s="403">
        <v>279882</v>
      </c>
      <c r="C1087" s="416"/>
      <c r="D1087" s="403"/>
    </row>
    <row r="1088" spans="1:4" ht="15" x14ac:dyDescent="0.25">
      <c r="A1088" s="592">
        <v>43888</v>
      </c>
      <c r="B1088" s="403">
        <v>270773.33</v>
      </c>
      <c r="C1088" s="416"/>
      <c r="D1088" s="403"/>
    </row>
    <row r="1089" spans="1:4" ht="15" x14ac:dyDescent="0.25">
      <c r="A1089" s="592">
        <v>43889</v>
      </c>
      <c r="B1089" s="403">
        <v>306133.57</v>
      </c>
      <c r="C1089" s="416"/>
      <c r="D1089" s="403"/>
    </row>
    <row r="1090" spans="1:4" ht="15" x14ac:dyDescent="0.25">
      <c r="A1090" s="592">
        <v>43892</v>
      </c>
      <c r="B1090" s="403">
        <v>267343.68</v>
      </c>
      <c r="C1090" s="416"/>
      <c r="D1090" s="403"/>
    </row>
    <row r="1091" spans="1:4" ht="15" x14ac:dyDescent="0.25">
      <c r="A1091" s="592">
        <v>43893</v>
      </c>
      <c r="B1091" s="403">
        <v>267157.68</v>
      </c>
      <c r="C1091" s="416"/>
      <c r="D1091" s="403"/>
    </row>
    <row r="1092" spans="1:4" ht="15" x14ac:dyDescent="0.25">
      <c r="A1092" s="592">
        <v>43894</v>
      </c>
      <c r="B1092" s="403">
        <v>267157.68</v>
      </c>
      <c r="C1092" s="416"/>
      <c r="D1092" s="403"/>
    </row>
    <row r="1093" spans="1:4" ht="15" x14ac:dyDescent="0.25">
      <c r="A1093" s="592">
        <v>43895</v>
      </c>
      <c r="B1093" s="403">
        <v>264690.95</v>
      </c>
      <c r="C1093" s="416"/>
      <c r="D1093" s="403"/>
    </row>
    <row r="1094" spans="1:4" ht="15" x14ac:dyDescent="0.25">
      <c r="A1094" s="592">
        <v>43896</v>
      </c>
      <c r="B1094" s="403">
        <v>264495.03999999998</v>
      </c>
      <c r="C1094" s="416"/>
      <c r="D1094" s="403"/>
    </row>
    <row r="1095" spans="1:4" ht="15" x14ac:dyDescent="0.25">
      <c r="A1095" s="592">
        <v>43899</v>
      </c>
      <c r="B1095" s="403">
        <v>264495.03999999998</v>
      </c>
      <c r="C1095" s="416"/>
      <c r="D1095" s="403"/>
    </row>
    <row r="1096" spans="1:4" ht="15" x14ac:dyDescent="0.25">
      <c r="A1096" s="592">
        <v>43900</v>
      </c>
      <c r="B1096" s="403">
        <v>267283.63</v>
      </c>
      <c r="C1096" s="416"/>
      <c r="D1096" s="403"/>
    </row>
    <row r="1097" spans="1:4" ht="15" x14ac:dyDescent="0.25">
      <c r="A1097" s="592">
        <v>43901</v>
      </c>
      <c r="B1097" s="403">
        <v>267283.63</v>
      </c>
      <c r="C1097" s="416"/>
      <c r="D1097" s="403"/>
    </row>
    <row r="1098" spans="1:4" ht="15" x14ac:dyDescent="0.25">
      <c r="A1098" s="592">
        <v>43902</v>
      </c>
      <c r="B1098" s="403">
        <v>259537.69</v>
      </c>
      <c r="C1098" s="416"/>
      <c r="D1098" s="403"/>
    </row>
    <row r="1099" spans="1:4" ht="15" x14ac:dyDescent="0.25">
      <c r="A1099" s="592">
        <v>43903</v>
      </c>
      <c r="B1099" s="403">
        <v>259645.65</v>
      </c>
      <c r="C1099" s="416"/>
      <c r="D1099" s="403"/>
    </row>
    <row r="1100" spans="1:4" ht="15" x14ac:dyDescent="0.25">
      <c r="A1100" s="592">
        <v>43906</v>
      </c>
      <c r="B1100" s="403">
        <v>279221.03000000003</v>
      </c>
      <c r="C1100" s="416"/>
      <c r="D1100" s="403"/>
    </row>
    <row r="1101" spans="1:4" ht="15" x14ac:dyDescent="0.25">
      <c r="A1101" s="592">
        <v>43907</v>
      </c>
      <c r="B1101" s="403">
        <v>232150.36</v>
      </c>
      <c r="C1101" s="416"/>
      <c r="D1101" s="403"/>
    </row>
    <row r="1102" spans="1:4" ht="15" x14ac:dyDescent="0.25">
      <c r="A1102" s="592">
        <v>43908</v>
      </c>
      <c r="B1102" s="403">
        <v>274274.51</v>
      </c>
      <c r="C1102" s="416"/>
      <c r="D1102" s="403"/>
    </row>
    <row r="1103" spans="1:4" ht="15" x14ac:dyDescent="0.25">
      <c r="A1103" s="592">
        <v>43909</v>
      </c>
      <c r="B1103" s="403">
        <v>276629.48</v>
      </c>
      <c r="C1103" s="416"/>
      <c r="D1103" s="403"/>
    </row>
    <row r="1104" spans="1:4" ht="15" x14ac:dyDescent="0.25">
      <c r="A1104" s="592">
        <v>43910</v>
      </c>
      <c r="B1104" s="403">
        <v>276629.48</v>
      </c>
      <c r="C1104" s="416"/>
      <c r="D1104" s="403"/>
    </row>
    <row r="1105" spans="1:4" ht="15" x14ac:dyDescent="0.25">
      <c r="A1105" s="592">
        <v>43913</v>
      </c>
      <c r="B1105" s="403">
        <v>292626.55</v>
      </c>
      <c r="C1105" s="416"/>
      <c r="D1105" s="403"/>
    </row>
    <row r="1106" spans="1:4" ht="15" x14ac:dyDescent="0.25">
      <c r="A1106" s="592">
        <v>43914</v>
      </c>
      <c r="B1106" s="403">
        <v>292626.55</v>
      </c>
      <c r="C1106" s="416"/>
      <c r="D1106" s="403"/>
    </row>
    <row r="1107" spans="1:4" ht="15" x14ac:dyDescent="0.25">
      <c r="A1107" s="592">
        <v>43915</v>
      </c>
      <c r="B1107" s="403">
        <v>292626.55</v>
      </c>
      <c r="C1107" s="416"/>
      <c r="D1107" s="403"/>
    </row>
    <row r="1108" spans="1:4" ht="15" x14ac:dyDescent="0.25">
      <c r="A1108" s="592">
        <v>43916</v>
      </c>
      <c r="B1108" s="403">
        <v>292626.55</v>
      </c>
      <c r="C1108" s="416"/>
      <c r="D1108" s="403"/>
    </row>
    <row r="1109" spans="1:4" ht="15" x14ac:dyDescent="0.25">
      <c r="A1109" s="592">
        <v>43917</v>
      </c>
      <c r="B1109" s="403">
        <v>292582.55</v>
      </c>
      <c r="C1109" s="416"/>
      <c r="D1109" s="403"/>
    </row>
    <row r="1110" spans="1:4" ht="15" x14ac:dyDescent="0.25">
      <c r="A1110" s="592">
        <v>43920</v>
      </c>
      <c r="B1110" s="403">
        <v>292582.55</v>
      </c>
      <c r="C1110" s="416"/>
      <c r="D1110" s="403"/>
    </row>
    <row r="1111" spans="1:4" ht="15" x14ac:dyDescent="0.25">
      <c r="A1111" s="592">
        <v>43921</v>
      </c>
      <c r="B1111" s="403">
        <v>292582.55</v>
      </c>
      <c r="C1111" s="416"/>
      <c r="D1111" s="403"/>
    </row>
    <row r="1112" spans="1:4" ht="15" x14ac:dyDescent="0.25">
      <c r="A1112" s="592">
        <v>43922</v>
      </c>
      <c r="B1112" s="403">
        <v>256343.91</v>
      </c>
      <c r="C1112" s="416"/>
      <c r="D1112" s="403"/>
    </row>
    <row r="1113" spans="1:4" ht="15" x14ac:dyDescent="0.25">
      <c r="A1113" s="592">
        <v>43923</v>
      </c>
      <c r="B1113" s="403">
        <v>260066.55</v>
      </c>
      <c r="C1113" s="416"/>
      <c r="D1113" s="403"/>
    </row>
    <row r="1114" spans="1:4" ht="15" x14ac:dyDescent="0.25">
      <c r="A1114" s="592">
        <v>43924</v>
      </c>
      <c r="B1114" s="403">
        <v>259418.64</v>
      </c>
      <c r="C1114" s="416"/>
      <c r="D1114" s="403"/>
    </row>
    <row r="1115" spans="1:4" ht="15" x14ac:dyDescent="0.25">
      <c r="A1115" s="592">
        <v>43927</v>
      </c>
      <c r="B1115" s="403">
        <v>259418.64</v>
      </c>
      <c r="C1115" s="416"/>
      <c r="D1115" s="403"/>
    </row>
    <row r="1116" spans="1:4" ht="15" x14ac:dyDescent="0.25">
      <c r="A1116" s="592">
        <v>43928</v>
      </c>
      <c r="B1116" s="403">
        <v>259418.64</v>
      </c>
      <c r="C1116" s="416"/>
      <c r="D1116" s="403"/>
    </row>
    <row r="1117" spans="1:4" ht="15" x14ac:dyDescent="0.25">
      <c r="A1117" s="592">
        <v>43929</v>
      </c>
      <c r="B1117" s="403">
        <v>259418.64</v>
      </c>
      <c r="C1117" s="416"/>
      <c r="D1117" s="403"/>
    </row>
    <row r="1118" spans="1:4" ht="15" x14ac:dyDescent="0.25">
      <c r="A1118" s="592">
        <v>43930</v>
      </c>
      <c r="B1118" s="403">
        <v>256056.32000000001</v>
      </c>
      <c r="C1118" s="416"/>
      <c r="D1118" s="403"/>
    </row>
    <row r="1119" spans="1:4" ht="15" x14ac:dyDescent="0.25">
      <c r="A1119" s="592">
        <v>43931</v>
      </c>
      <c r="B1119" s="403">
        <v>256056.32000000001</v>
      </c>
      <c r="C1119" s="416"/>
      <c r="D1119" s="403"/>
    </row>
    <row r="1120" spans="1:4" ht="15" x14ac:dyDescent="0.25">
      <c r="A1120" s="592">
        <v>43934</v>
      </c>
      <c r="B1120" s="403">
        <v>256056.32000000001</v>
      </c>
      <c r="C1120" s="416"/>
      <c r="D1120" s="403"/>
    </row>
    <row r="1121" spans="1:4" ht="15" x14ac:dyDescent="0.25">
      <c r="A1121" s="592">
        <v>43935</v>
      </c>
      <c r="B1121" s="403">
        <v>256056.32000000001</v>
      </c>
      <c r="C1121" s="416"/>
      <c r="D1121" s="403"/>
    </row>
    <row r="1122" spans="1:4" ht="15" x14ac:dyDescent="0.25">
      <c r="A1122" s="592">
        <v>43936</v>
      </c>
      <c r="B1122" s="403">
        <v>222877.12</v>
      </c>
      <c r="C1122" s="416"/>
      <c r="D1122" s="403"/>
    </row>
    <row r="1123" spans="1:4" ht="15" x14ac:dyDescent="0.25">
      <c r="A1123" s="592">
        <v>43937</v>
      </c>
      <c r="B1123" s="403">
        <v>222877.12</v>
      </c>
      <c r="C1123" s="416"/>
      <c r="D1123" s="403"/>
    </row>
    <row r="1124" spans="1:4" ht="15" x14ac:dyDescent="0.25">
      <c r="A1124" s="592">
        <v>43938</v>
      </c>
      <c r="B1124" s="403">
        <v>222415.21</v>
      </c>
      <c r="C1124" s="416"/>
      <c r="D1124" s="403"/>
    </row>
    <row r="1125" spans="1:4" ht="15" x14ac:dyDescent="0.25">
      <c r="A1125" s="592">
        <v>43941</v>
      </c>
      <c r="B1125" s="403">
        <v>222415.21</v>
      </c>
      <c r="C1125" s="416"/>
      <c r="D1125" s="403"/>
    </row>
    <row r="1126" spans="1:4" ht="15" x14ac:dyDescent="0.25">
      <c r="A1126" s="592">
        <v>43942</v>
      </c>
      <c r="B1126" s="403">
        <v>222415.21</v>
      </c>
      <c r="C1126" s="416"/>
      <c r="D1126" s="403"/>
    </row>
    <row r="1127" spans="1:4" ht="15" x14ac:dyDescent="0.25">
      <c r="A1127" s="592">
        <v>43943</v>
      </c>
      <c r="B1127" s="403">
        <v>222415.21</v>
      </c>
      <c r="C1127" s="416"/>
      <c r="D1127" s="403"/>
    </row>
    <row r="1128" spans="1:4" ht="15" x14ac:dyDescent="0.25">
      <c r="A1128" s="592">
        <v>43944</v>
      </c>
      <c r="B1128" s="403">
        <v>185658.71</v>
      </c>
      <c r="C1128" s="416"/>
      <c r="D1128" s="403"/>
    </row>
    <row r="1129" spans="1:4" ht="15" x14ac:dyDescent="0.25">
      <c r="A1129" s="592">
        <v>43945</v>
      </c>
      <c r="B1129" s="403">
        <v>185658.71</v>
      </c>
      <c r="C1129" s="416"/>
      <c r="D1129" s="403"/>
    </row>
    <row r="1130" spans="1:4" ht="15" x14ac:dyDescent="0.25">
      <c r="A1130" s="592">
        <v>43948</v>
      </c>
      <c r="B1130" s="403">
        <v>185614.71</v>
      </c>
      <c r="C1130" s="416"/>
      <c r="D1130" s="403"/>
    </row>
    <row r="1131" spans="1:4" ht="15" x14ac:dyDescent="0.25">
      <c r="A1131" s="592">
        <v>43949</v>
      </c>
      <c r="B1131" s="444">
        <v>152434.01999999999</v>
      </c>
      <c r="C1131" s="416"/>
      <c r="D1131" s="444"/>
    </row>
    <row r="1132" spans="1:4" ht="15" x14ac:dyDescent="0.25">
      <c r="A1132" s="592">
        <v>43950</v>
      </c>
      <c r="B1132" s="403">
        <v>152434.01999999999</v>
      </c>
      <c r="C1132" s="416"/>
      <c r="D1132" s="403"/>
    </row>
    <row r="1133" spans="1:4" ht="15" x14ac:dyDescent="0.25">
      <c r="A1133" s="592">
        <v>43951</v>
      </c>
      <c r="B1133" s="403">
        <v>173230.55</v>
      </c>
      <c r="C1133" s="416"/>
      <c r="D1133" s="403"/>
    </row>
    <row r="1134" spans="1:4" ht="15" x14ac:dyDescent="0.25">
      <c r="A1134" s="592">
        <v>43952</v>
      </c>
      <c r="B1134" s="403">
        <f>C1134+D1134</f>
        <v>173492.71000000002</v>
      </c>
      <c r="C1134" s="595">
        <v>172768.64000000001</v>
      </c>
      <c r="D1134" s="596">
        <v>724.07</v>
      </c>
    </row>
    <row r="1135" spans="1:4" ht="15" x14ac:dyDescent="0.25">
      <c r="A1135" s="592">
        <v>43955</v>
      </c>
      <c r="B1135" s="403">
        <f t="shared" ref="B1135:B1198" si="5">C1135+D1135</f>
        <v>173306.64</v>
      </c>
      <c r="C1135" s="595">
        <v>172582.64</v>
      </c>
      <c r="D1135" s="596">
        <v>724</v>
      </c>
    </row>
    <row r="1136" spans="1:4" ht="15" x14ac:dyDescent="0.25">
      <c r="A1136" s="592">
        <v>43956</v>
      </c>
      <c r="B1136" s="403">
        <f t="shared" si="5"/>
        <v>173307</v>
      </c>
      <c r="C1136" s="595">
        <v>172583</v>
      </c>
      <c r="D1136" s="596">
        <f>D1135</f>
        <v>724</v>
      </c>
    </row>
    <row r="1137" spans="1:4" ht="15" x14ac:dyDescent="0.25">
      <c r="A1137" s="592">
        <v>43957</v>
      </c>
      <c r="B1137" s="403">
        <f t="shared" si="5"/>
        <v>173307</v>
      </c>
      <c r="C1137" s="595">
        <v>172583</v>
      </c>
      <c r="D1137" s="596">
        <f t="shared" ref="D1137:D1179" si="6">D1136</f>
        <v>724</v>
      </c>
    </row>
    <row r="1138" spans="1:4" ht="15" x14ac:dyDescent="0.25">
      <c r="A1138" s="592">
        <v>43958</v>
      </c>
      <c r="B1138" s="403">
        <f t="shared" si="5"/>
        <v>173307</v>
      </c>
      <c r="C1138" s="595">
        <v>172583</v>
      </c>
      <c r="D1138" s="596">
        <f t="shared" si="6"/>
        <v>724</v>
      </c>
    </row>
    <row r="1139" spans="1:4" ht="15" x14ac:dyDescent="0.25">
      <c r="A1139" s="592">
        <v>43959</v>
      </c>
      <c r="B1139" s="403">
        <f t="shared" si="5"/>
        <v>385709.68000000005</v>
      </c>
      <c r="C1139" s="595">
        <v>187582.64</v>
      </c>
      <c r="D1139" s="596">
        <v>198127.04</v>
      </c>
    </row>
    <row r="1140" spans="1:4" ht="15" x14ac:dyDescent="0.25">
      <c r="A1140" s="592">
        <v>43962</v>
      </c>
      <c r="B1140" s="403">
        <f t="shared" si="5"/>
        <v>385710.04000000004</v>
      </c>
      <c r="C1140" s="595">
        <v>187583</v>
      </c>
      <c r="D1140" s="596">
        <f t="shared" si="6"/>
        <v>198127.04</v>
      </c>
    </row>
    <row r="1141" spans="1:4" ht="15" x14ac:dyDescent="0.25">
      <c r="A1141" s="592">
        <v>43963</v>
      </c>
      <c r="B1141" s="444">
        <f t="shared" si="5"/>
        <v>385904.98</v>
      </c>
      <c r="C1141" s="595">
        <v>187777.94</v>
      </c>
      <c r="D1141" s="596">
        <f t="shared" si="6"/>
        <v>198127.04</v>
      </c>
    </row>
    <row r="1142" spans="1:4" ht="15" x14ac:dyDescent="0.25">
      <c r="A1142" s="592">
        <v>43964</v>
      </c>
      <c r="B1142" s="403">
        <f t="shared" si="5"/>
        <v>362979.35</v>
      </c>
      <c r="C1142" s="595">
        <v>187778</v>
      </c>
      <c r="D1142" s="596">
        <v>175201.35</v>
      </c>
    </row>
    <row r="1143" spans="1:4" ht="15" x14ac:dyDescent="0.25">
      <c r="A1143" s="592">
        <v>43965</v>
      </c>
      <c r="B1143" s="403">
        <f t="shared" si="5"/>
        <v>362979.35</v>
      </c>
      <c r="C1143" s="595">
        <v>187778</v>
      </c>
      <c r="D1143" s="596">
        <f t="shared" si="6"/>
        <v>175201.35</v>
      </c>
    </row>
    <row r="1144" spans="1:4" ht="15" x14ac:dyDescent="0.25">
      <c r="A1144" s="592">
        <v>43966</v>
      </c>
      <c r="B1144" s="403">
        <f t="shared" si="5"/>
        <v>362624.73</v>
      </c>
      <c r="C1144" s="595">
        <v>187400</v>
      </c>
      <c r="D1144" s="596">
        <v>175224.73</v>
      </c>
    </row>
    <row r="1145" spans="1:4" ht="15" x14ac:dyDescent="0.25">
      <c r="A1145" s="592">
        <v>43969</v>
      </c>
      <c r="B1145" s="403">
        <f t="shared" si="5"/>
        <v>362070.03</v>
      </c>
      <c r="C1145" s="595">
        <v>187400</v>
      </c>
      <c r="D1145" s="596">
        <v>174670.03</v>
      </c>
    </row>
    <row r="1146" spans="1:4" ht="15" x14ac:dyDescent="0.25">
      <c r="A1146" s="592">
        <v>43970</v>
      </c>
      <c r="B1146" s="403">
        <f t="shared" si="5"/>
        <v>352214.86</v>
      </c>
      <c r="C1146" s="595">
        <v>187400</v>
      </c>
      <c r="D1146" s="596">
        <v>164814.85999999999</v>
      </c>
    </row>
    <row r="1147" spans="1:4" ht="15" x14ac:dyDescent="0.25">
      <c r="A1147" s="592">
        <v>43971</v>
      </c>
      <c r="B1147" s="403">
        <f t="shared" si="5"/>
        <v>352214.86</v>
      </c>
      <c r="C1147" s="595">
        <v>187400</v>
      </c>
      <c r="D1147" s="596">
        <f t="shared" si="6"/>
        <v>164814.85999999999</v>
      </c>
    </row>
    <row r="1148" spans="1:4" ht="15" x14ac:dyDescent="0.25">
      <c r="A1148" s="592">
        <v>43972</v>
      </c>
      <c r="B1148" s="403">
        <f t="shared" si="5"/>
        <v>337570.28</v>
      </c>
      <c r="C1148" s="595">
        <v>178152.54</v>
      </c>
      <c r="D1148" s="596">
        <v>159417.74</v>
      </c>
    </row>
    <row r="1149" spans="1:4" ht="15" x14ac:dyDescent="0.25">
      <c r="A1149" s="592">
        <v>43973</v>
      </c>
      <c r="B1149" s="403">
        <f t="shared" si="5"/>
        <v>337570.28</v>
      </c>
      <c r="C1149" s="595">
        <v>178152.54</v>
      </c>
      <c r="D1149" s="596">
        <f t="shared" si="6"/>
        <v>159417.74</v>
      </c>
    </row>
    <row r="1150" spans="1:4" x14ac:dyDescent="0.2">
      <c r="A1150" s="416">
        <v>43976</v>
      </c>
      <c r="B1150" s="403">
        <f t="shared" si="5"/>
        <v>337570.28</v>
      </c>
      <c r="C1150" s="595">
        <v>178152.54</v>
      </c>
      <c r="D1150" s="596">
        <f t="shared" si="6"/>
        <v>159417.74</v>
      </c>
    </row>
    <row r="1151" spans="1:4" x14ac:dyDescent="0.2">
      <c r="A1151" s="416">
        <v>43977</v>
      </c>
      <c r="B1151" s="403">
        <f t="shared" si="5"/>
        <v>337570.28</v>
      </c>
      <c r="C1151" s="595">
        <v>178152.54</v>
      </c>
      <c r="D1151" s="596">
        <f t="shared" si="6"/>
        <v>159417.74</v>
      </c>
    </row>
    <row r="1152" spans="1:4" x14ac:dyDescent="0.2">
      <c r="A1152" s="416">
        <v>43978</v>
      </c>
      <c r="B1152" s="403">
        <f t="shared" si="5"/>
        <v>314828.33999999997</v>
      </c>
      <c r="C1152" s="595">
        <v>178108.54</v>
      </c>
      <c r="D1152" s="596">
        <v>136719.79999999999</v>
      </c>
    </row>
    <row r="1153" spans="1:4" x14ac:dyDescent="0.2">
      <c r="A1153" s="416">
        <v>43979</v>
      </c>
      <c r="B1153" s="403">
        <f t="shared" si="5"/>
        <v>314642.31</v>
      </c>
      <c r="C1153" s="595">
        <v>177922.51</v>
      </c>
      <c r="D1153" s="596">
        <f t="shared" si="6"/>
        <v>136719.79999999999</v>
      </c>
    </row>
    <row r="1154" spans="1:4" x14ac:dyDescent="0.2">
      <c r="A1154" s="416">
        <v>43980</v>
      </c>
      <c r="B1154" s="403">
        <f t="shared" si="5"/>
        <v>314180.40000000002</v>
      </c>
      <c r="C1154" s="595">
        <v>177460.6</v>
      </c>
      <c r="D1154" s="596">
        <f t="shared" si="6"/>
        <v>136719.79999999999</v>
      </c>
    </row>
    <row r="1155" spans="1:4" x14ac:dyDescent="0.2">
      <c r="A1155" s="416">
        <v>43983</v>
      </c>
      <c r="B1155" s="403">
        <f t="shared" si="5"/>
        <v>336211.19</v>
      </c>
      <c r="C1155" s="595">
        <v>201698.93</v>
      </c>
      <c r="D1155" s="596">
        <v>134512.26</v>
      </c>
    </row>
    <row r="1156" spans="1:4" x14ac:dyDescent="0.2">
      <c r="A1156" s="416">
        <v>43984</v>
      </c>
      <c r="B1156" s="403">
        <f t="shared" si="5"/>
        <v>327639.93</v>
      </c>
      <c r="C1156" s="595">
        <v>201512.93</v>
      </c>
      <c r="D1156" s="596">
        <v>126127</v>
      </c>
    </row>
    <row r="1157" spans="1:4" x14ac:dyDescent="0.2">
      <c r="A1157" s="416">
        <v>43985</v>
      </c>
      <c r="B1157" s="403">
        <f t="shared" si="5"/>
        <v>327640</v>
      </c>
      <c r="C1157" s="595">
        <v>201513</v>
      </c>
      <c r="D1157" s="596">
        <f t="shared" si="6"/>
        <v>126127</v>
      </c>
    </row>
    <row r="1158" spans="1:4" x14ac:dyDescent="0.2">
      <c r="A1158" s="416">
        <v>43986</v>
      </c>
      <c r="B1158" s="403">
        <f t="shared" si="5"/>
        <v>332166.29000000004</v>
      </c>
      <c r="C1158" s="595">
        <v>206039.29</v>
      </c>
      <c r="D1158" s="596">
        <f t="shared" si="6"/>
        <v>126127</v>
      </c>
    </row>
    <row r="1159" spans="1:4" x14ac:dyDescent="0.2">
      <c r="A1159" s="416">
        <v>43987</v>
      </c>
      <c r="B1159" s="403">
        <f t="shared" si="5"/>
        <v>332166.29000000004</v>
      </c>
      <c r="C1159" s="595">
        <f>C1158</f>
        <v>206039.29</v>
      </c>
      <c r="D1159" s="596">
        <f t="shared" si="6"/>
        <v>126127</v>
      </c>
    </row>
    <row r="1160" spans="1:4" x14ac:dyDescent="0.2">
      <c r="A1160" s="416">
        <v>43990</v>
      </c>
      <c r="B1160" s="403">
        <f t="shared" si="5"/>
        <v>378580.41000000003</v>
      </c>
      <c r="C1160" s="595">
        <v>252453.41</v>
      </c>
      <c r="D1160" s="596">
        <f t="shared" si="6"/>
        <v>126127</v>
      </c>
    </row>
    <row r="1161" spans="1:4" x14ac:dyDescent="0.2">
      <c r="A1161" s="416">
        <v>43991</v>
      </c>
      <c r="B1161" s="403">
        <f t="shared" si="5"/>
        <v>378580.41000000003</v>
      </c>
      <c r="C1161" s="595">
        <f t="shared" ref="C1161:C1175" si="7">C1160</f>
        <v>252453.41</v>
      </c>
      <c r="D1161" s="596">
        <f t="shared" si="6"/>
        <v>126127</v>
      </c>
    </row>
    <row r="1162" spans="1:4" x14ac:dyDescent="0.2">
      <c r="A1162" s="416">
        <v>43992</v>
      </c>
      <c r="B1162" s="403">
        <f t="shared" si="5"/>
        <v>355599.42</v>
      </c>
      <c r="C1162" s="595">
        <f t="shared" si="7"/>
        <v>252453.41</v>
      </c>
      <c r="D1162" s="596">
        <v>103146.01</v>
      </c>
    </row>
    <row r="1163" spans="1:4" x14ac:dyDescent="0.2">
      <c r="A1163" s="416">
        <v>43993</v>
      </c>
      <c r="B1163" s="403">
        <f t="shared" si="5"/>
        <v>348512.49</v>
      </c>
      <c r="C1163" s="595">
        <v>255461.07</v>
      </c>
      <c r="D1163" s="596">
        <v>93051.42</v>
      </c>
    </row>
    <row r="1164" spans="1:4" x14ac:dyDescent="0.2">
      <c r="A1164" s="416">
        <v>43994</v>
      </c>
      <c r="B1164" s="403">
        <f t="shared" si="5"/>
        <v>351663.19</v>
      </c>
      <c r="C1164" s="595">
        <v>258611.77</v>
      </c>
      <c r="D1164" s="596">
        <f t="shared" si="6"/>
        <v>93051.42</v>
      </c>
    </row>
    <row r="1165" spans="1:4" x14ac:dyDescent="0.2">
      <c r="A1165" s="416">
        <v>43997</v>
      </c>
      <c r="B1165" s="403">
        <f t="shared" si="5"/>
        <v>351097.70999999996</v>
      </c>
      <c r="C1165" s="595">
        <f t="shared" si="7"/>
        <v>258611.77</v>
      </c>
      <c r="D1165" s="596">
        <v>92485.94</v>
      </c>
    </row>
    <row r="1166" spans="1:4" x14ac:dyDescent="0.2">
      <c r="A1166" s="416">
        <v>43998</v>
      </c>
      <c r="B1166" s="403">
        <f t="shared" si="5"/>
        <v>351097.70999999996</v>
      </c>
      <c r="C1166" s="595">
        <f t="shared" si="7"/>
        <v>258611.77</v>
      </c>
      <c r="D1166" s="596">
        <f t="shared" si="6"/>
        <v>92485.94</v>
      </c>
    </row>
    <row r="1167" spans="1:4" x14ac:dyDescent="0.2">
      <c r="A1167" s="416">
        <v>43999</v>
      </c>
      <c r="B1167" s="403">
        <f t="shared" si="5"/>
        <v>342735.58</v>
      </c>
      <c r="C1167" s="595">
        <v>250249.64</v>
      </c>
      <c r="D1167" s="596">
        <f t="shared" si="6"/>
        <v>92485.94</v>
      </c>
    </row>
    <row r="1168" spans="1:4" x14ac:dyDescent="0.2">
      <c r="A1168" s="416">
        <v>44000</v>
      </c>
      <c r="B1168" s="403">
        <f t="shared" si="5"/>
        <v>344495.52</v>
      </c>
      <c r="C1168" s="595">
        <v>252009.58</v>
      </c>
      <c r="D1168" s="596">
        <f t="shared" si="6"/>
        <v>92485.94</v>
      </c>
    </row>
    <row r="1169" spans="1:4" x14ac:dyDescent="0.2">
      <c r="A1169" s="416">
        <v>44001</v>
      </c>
      <c r="B1169" s="403">
        <f t="shared" si="5"/>
        <v>344495.52</v>
      </c>
      <c r="C1169" s="595">
        <f t="shared" si="7"/>
        <v>252009.58</v>
      </c>
      <c r="D1169" s="596">
        <f t="shared" si="6"/>
        <v>92485.94</v>
      </c>
    </row>
    <row r="1170" spans="1:4" x14ac:dyDescent="0.2">
      <c r="A1170" s="416">
        <v>44004</v>
      </c>
      <c r="B1170" s="403">
        <f t="shared" si="5"/>
        <v>344495.52</v>
      </c>
      <c r="C1170" s="595">
        <f t="shared" si="7"/>
        <v>252009.58</v>
      </c>
      <c r="D1170" s="596">
        <f t="shared" si="6"/>
        <v>92485.94</v>
      </c>
    </row>
    <row r="1171" spans="1:4" x14ac:dyDescent="0.2">
      <c r="A1171" s="416">
        <v>44005</v>
      </c>
      <c r="B1171" s="403">
        <f t="shared" si="5"/>
        <v>334324.15000000002</v>
      </c>
      <c r="C1171" s="595">
        <v>241838.21</v>
      </c>
      <c r="D1171" s="596">
        <f t="shared" si="6"/>
        <v>92485.94</v>
      </c>
    </row>
    <row r="1172" spans="1:4" x14ac:dyDescent="0.2">
      <c r="A1172" s="416">
        <v>44006</v>
      </c>
      <c r="B1172" s="403">
        <f t="shared" si="5"/>
        <v>342928.85</v>
      </c>
      <c r="C1172" s="595">
        <v>275398.59999999998</v>
      </c>
      <c r="D1172" s="596">
        <v>67530.25</v>
      </c>
    </row>
    <row r="1173" spans="1:4" x14ac:dyDescent="0.2">
      <c r="A1173" s="416">
        <v>44007</v>
      </c>
      <c r="B1173" s="403">
        <f t="shared" si="5"/>
        <v>325375.87</v>
      </c>
      <c r="C1173" s="595">
        <v>268709.96999999997</v>
      </c>
      <c r="D1173" s="596">
        <v>56665.9</v>
      </c>
    </row>
    <row r="1174" spans="1:4" x14ac:dyDescent="0.2">
      <c r="A1174" s="416">
        <v>44008</v>
      </c>
      <c r="B1174" s="403">
        <f t="shared" si="5"/>
        <v>324225.81</v>
      </c>
      <c r="C1174" s="595">
        <v>268257.68</v>
      </c>
      <c r="D1174" s="596">
        <v>55968.13</v>
      </c>
    </row>
    <row r="1175" spans="1:4" x14ac:dyDescent="0.2">
      <c r="A1175" s="416">
        <v>44011</v>
      </c>
      <c r="B1175" s="403">
        <f t="shared" si="5"/>
        <v>324225.81</v>
      </c>
      <c r="C1175" s="595">
        <f t="shared" si="7"/>
        <v>268257.68</v>
      </c>
      <c r="D1175" s="596">
        <f t="shared" si="6"/>
        <v>55968.13</v>
      </c>
    </row>
    <row r="1176" spans="1:4" x14ac:dyDescent="0.2">
      <c r="A1176" s="416">
        <v>44012</v>
      </c>
      <c r="B1176" s="403">
        <f t="shared" si="5"/>
        <v>332737.41000000003</v>
      </c>
      <c r="C1176" s="595">
        <v>276769.28000000003</v>
      </c>
      <c r="D1176" s="596">
        <f t="shared" si="6"/>
        <v>55968.13</v>
      </c>
    </row>
    <row r="1177" spans="1:4" x14ac:dyDescent="0.2">
      <c r="A1177" s="416">
        <v>44013</v>
      </c>
      <c r="B1177" s="403">
        <f t="shared" si="5"/>
        <v>348287.12</v>
      </c>
      <c r="C1177" s="595">
        <v>292318.99</v>
      </c>
      <c r="D1177" s="596">
        <f t="shared" si="6"/>
        <v>55968.13</v>
      </c>
    </row>
    <row r="1178" spans="1:4" x14ac:dyDescent="0.2">
      <c r="A1178" s="416">
        <v>44014</v>
      </c>
      <c r="B1178" s="403">
        <f t="shared" si="5"/>
        <v>351754.67</v>
      </c>
      <c r="C1178" s="595">
        <v>295786.53999999998</v>
      </c>
      <c r="D1178" s="596">
        <f t="shared" si="6"/>
        <v>55968.13</v>
      </c>
    </row>
    <row r="1179" spans="1:4" x14ac:dyDescent="0.2">
      <c r="A1179" s="416">
        <v>44015</v>
      </c>
      <c r="B1179" s="403">
        <f t="shared" si="5"/>
        <v>352041.67</v>
      </c>
      <c r="C1179" s="595">
        <v>296073.53999999998</v>
      </c>
      <c r="D1179" s="596">
        <f t="shared" si="6"/>
        <v>55968.13</v>
      </c>
    </row>
    <row r="1180" spans="1:4" x14ac:dyDescent="0.2">
      <c r="A1180" s="416">
        <v>44018</v>
      </c>
      <c r="B1180" s="403">
        <f t="shared" si="5"/>
        <v>352042</v>
      </c>
      <c r="C1180" s="595">
        <v>296074</v>
      </c>
      <c r="D1180" s="596">
        <v>55968</v>
      </c>
    </row>
    <row r="1181" spans="1:4" x14ac:dyDescent="0.2">
      <c r="A1181" s="416">
        <v>44019</v>
      </c>
      <c r="B1181" s="403">
        <f t="shared" si="5"/>
        <v>352042</v>
      </c>
      <c r="C1181" s="595">
        <v>296074</v>
      </c>
      <c r="D1181" s="596">
        <v>55968</v>
      </c>
    </row>
    <row r="1182" spans="1:4" x14ac:dyDescent="0.2">
      <c r="A1182" s="416">
        <v>44020</v>
      </c>
      <c r="B1182" s="403">
        <f t="shared" si="5"/>
        <v>326415.09999999998</v>
      </c>
      <c r="C1182" s="595">
        <v>296074</v>
      </c>
      <c r="D1182" s="596">
        <v>30341.1</v>
      </c>
    </row>
    <row r="1183" spans="1:4" x14ac:dyDescent="0.2">
      <c r="A1183" s="416">
        <v>44021</v>
      </c>
      <c r="B1183" s="403">
        <f t="shared" si="5"/>
        <v>312231.88999999996</v>
      </c>
      <c r="C1183" s="595">
        <v>293240.15999999997</v>
      </c>
      <c r="D1183" s="596">
        <v>18991.73</v>
      </c>
    </row>
    <row r="1184" spans="1:4" x14ac:dyDescent="0.2">
      <c r="A1184" s="416">
        <v>44022</v>
      </c>
      <c r="B1184" s="403">
        <f t="shared" si="5"/>
        <v>311779.87</v>
      </c>
      <c r="C1184" s="595">
        <v>292787.87</v>
      </c>
      <c r="D1184" s="596">
        <v>18992</v>
      </c>
    </row>
    <row r="1185" spans="1:4" x14ac:dyDescent="0.2">
      <c r="A1185" s="416">
        <v>44025</v>
      </c>
      <c r="B1185" s="403">
        <f t="shared" si="5"/>
        <v>311474.96999999997</v>
      </c>
      <c r="C1185" s="595">
        <v>293190.87</v>
      </c>
      <c r="D1185" s="596">
        <v>18284.099999999999</v>
      </c>
    </row>
    <row r="1186" spans="1:4" x14ac:dyDescent="0.2">
      <c r="A1186" s="416">
        <v>44026</v>
      </c>
      <c r="B1186" s="403">
        <f t="shared" si="5"/>
        <v>315477.69</v>
      </c>
      <c r="C1186" s="595">
        <v>297193.59000000003</v>
      </c>
      <c r="D1186" s="596">
        <v>18284.099999999999</v>
      </c>
    </row>
    <row r="1187" spans="1:4" x14ac:dyDescent="0.2">
      <c r="A1187" s="416">
        <v>44027</v>
      </c>
      <c r="B1187" s="403">
        <f t="shared" si="5"/>
        <v>315594.98</v>
      </c>
      <c r="C1187" s="595">
        <v>297310.88</v>
      </c>
      <c r="D1187" s="596">
        <v>18284.099999999999</v>
      </c>
    </row>
    <row r="1188" spans="1:4" x14ac:dyDescent="0.2">
      <c r="A1188" s="416">
        <v>44028</v>
      </c>
      <c r="B1188" s="403">
        <f t="shared" si="5"/>
        <v>318211.11</v>
      </c>
      <c r="C1188" s="595">
        <v>299927.01</v>
      </c>
      <c r="D1188" s="596">
        <v>18284.099999999999</v>
      </c>
    </row>
    <row r="1189" spans="1:4" x14ac:dyDescent="0.2">
      <c r="A1189" s="416">
        <v>44029</v>
      </c>
      <c r="B1189" s="403">
        <f t="shared" si="5"/>
        <v>318211.09999999998</v>
      </c>
      <c r="C1189" s="595">
        <v>299927</v>
      </c>
      <c r="D1189" s="596">
        <v>18284.099999999999</v>
      </c>
    </row>
    <row r="1190" spans="1:4" x14ac:dyDescent="0.2">
      <c r="A1190" s="416">
        <v>44032</v>
      </c>
      <c r="B1190" s="403">
        <f t="shared" si="5"/>
        <v>339655.69</v>
      </c>
      <c r="C1190" s="595">
        <v>304374.55</v>
      </c>
      <c r="D1190" s="596">
        <v>35281.14</v>
      </c>
    </row>
    <row r="1191" spans="1:4" x14ac:dyDescent="0.2">
      <c r="A1191" s="416">
        <v>44033</v>
      </c>
      <c r="B1191" s="403">
        <f t="shared" si="5"/>
        <v>328838.90999999997</v>
      </c>
      <c r="C1191" s="595">
        <v>293557.90999999997</v>
      </c>
      <c r="D1191" s="596">
        <v>35281</v>
      </c>
    </row>
    <row r="1192" spans="1:4" x14ac:dyDescent="0.2">
      <c r="A1192" s="416">
        <v>44034</v>
      </c>
      <c r="B1192" s="403">
        <f t="shared" si="5"/>
        <v>315049.81</v>
      </c>
      <c r="C1192" s="595">
        <v>305336.09999999998</v>
      </c>
      <c r="D1192" s="596">
        <v>9713.7099999999991</v>
      </c>
    </row>
    <row r="1193" spans="1:4" x14ac:dyDescent="0.2">
      <c r="A1193" s="416">
        <v>44035</v>
      </c>
      <c r="B1193" s="403">
        <f t="shared" si="5"/>
        <v>308750.14999999997</v>
      </c>
      <c r="C1193" s="595">
        <v>307782.98</v>
      </c>
      <c r="D1193" s="596">
        <v>967.17</v>
      </c>
    </row>
    <row r="1194" spans="1:4" x14ac:dyDescent="0.2">
      <c r="A1194" s="416">
        <v>44036</v>
      </c>
      <c r="B1194" s="403">
        <f t="shared" si="5"/>
        <v>309653.73</v>
      </c>
      <c r="C1194" s="595">
        <v>309453.73</v>
      </c>
      <c r="D1194" s="596">
        <v>200</v>
      </c>
    </row>
    <row r="1195" spans="1:4" x14ac:dyDescent="0.2">
      <c r="A1195" s="416">
        <v>44039</v>
      </c>
      <c r="B1195" s="403">
        <f t="shared" si="5"/>
        <v>300292.32</v>
      </c>
      <c r="C1195" s="595">
        <v>300092.32</v>
      </c>
      <c r="D1195" s="596">
        <v>200</v>
      </c>
    </row>
    <row r="1196" spans="1:4" x14ac:dyDescent="0.2">
      <c r="A1196" s="416">
        <v>44040</v>
      </c>
      <c r="B1196" s="403">
        <f t="shared" si="5"/>
        <v>300248.32000000001</v>
      </c>
      <c r="C1196" s="595">
        <v>300048.32</v>
      </c>
      <c r="D1196" s="596">
        <v>200</v>
      </c>
    </row>
    <row r="1197" spans="1:4" x14ac:dyDescent="0.2">
      <c r="A1197" s="416">
        <v>44041</v>
      </c>
      <c r="B1197" s="403">
        <f t="shared" si="5"/>
        <v>298885.23</v>
      </c>
      <c r="C1197" s="595">
        <v>298685.23</v>
      </c>
      <c r="D1197" s="596">
        <v>200</v>
      </c>
    </row>
    <row r="1198" spans="1:4" x14ac:dyDescent="0.2">
      <c r="A1198" s="416">
        <v>44042</v>
      </c>
      <c r="B1198" s="403">
        <f t="shared" si="5"/>
        <v>298918.89</v>
      </c>
      <c r="C1198" s="595">
        <v>298718.89</v>
      </c>
      <c r="D1198" s="596">
        <v>200</v>
      </c>
    </row>
    <row r="1199" spans="1:4" x14ac:dyDescent="0.2">
      <c r="A1199" s="416">
        <v>44043</v>
      </c>
      <c r="B1199" s="403">
        <f t="shared" ref="B1199:B1262" si="8">C1199+D1199</f>
        <v>298919</v>
      </c>
      <c r="C1199" s="595">
        <v>298719</v>
      </c>
      <c r="D1199" s="596">
        <v>200</v>
      </c>
    </row>
    <row r="1200" spans="1:4" x14ac:dyDescent="0.2">
      <c r="A1200" s="416">
        <v>44046</v>
      </c>
      <c r="B1200" s="403">
        <f t="shared" si="8"/>
        <v>262470.13</v>
      </c>
      <c r="C1200" s="595">
        <v>262270.13</v>
      </c>
      <c r="D1200" s="596">
        <v>200</v>
      </c>
    </row>
    <row r="1201" spans="1:4" x14ac:dyDescent="0.2">
      <c r="A1201" s="416">
        <v>44047</v>
      </c>
      <c r="B1201" s="403">
        <f t="shared" si="8"/>
        <v>254560.85</v>
      </c>
      <c r="C1201" s="595">
        <v>254360.85</v>
      </c>
      <c r="D1201" s="596">
        <v>200</v>
      </c>
    </row>
    <row r="1202" spans="1:4" x14ac:dyDescent="0.2">
      <c r="A1202" s="416">
        <v>44048</v>
      </c>
      <c r="B1202" s="403">
        <f t="shared" si="8"/>
        <v>254561</v>
      </c>
      <c r="C1202" s="595">
        <v>254361</v>
      </c>
      <c r="D1202" s="596">
        <v>200</v>
      </c>
    </row>
    <row r="1203" spans="1:4" x14ac:dyDescent="0.2">
      <c r="A1203" s="416">
        <v>44049</v>
      </c>
      <c r="B1203" s="403">
        <f t="shared" si="8"/>
        <v>256783.26</v>
      </c>
      <c r="C1203" s="595">
        <v>256583.26</v>
      </c>
      <c r="D1203" s="596">
        <v>200</v>
      </c>
    </row>
    <row r="1204" spans="1:4" x14ac:dyDescent="0.2">
      <c r="A1204" s="416">
        <v>44050</v>
      </c>
      <c r="B1204" s="403">
        <f t="shared" si="8"/>
        <v>256330.97</v>
      </c>
      <c r="C1204" s="595">
        <v>256130.97</v>
      </c>
      <c r="D1204" s="596">
        <v>200</v>
      </c>
    </row>
    <row r="1205" spans="1:4" x14ac:dyDescent="0.2">
      <c r="A1205" s="416">
        <v>44053</v>
      </c>
      <c r="B1205" s="403">
        <f t="shared" si="8"/>
        <v>256331</v>
      </c>
      <c r="C1205" s="595">
        <v>256131</v>
      </c>
      <c r="D1205" s="596">
        <v>200</v>
      </c>
    </row>
    <row r="1206" spans="1:4" x14ac:dyDescent="0.2">
      <c r="A1206" s="416">
        <v>44054</v>
      </c>
      <c r="B1206" s="403">
        <f t="shared" si="8"/>
        <v>256331</v>
      </c>
      <c r="C1206" s="595">
        <v>256131</v>
      </c>
      <c r="D1206" s="596">
        <v>200</v>
      </c>
    </row>
    <row r="1207" spans="1:4" x14ac:dyDescent="0.2">
      <c r="A1207" s="416">
        <v>44055</v>
      </c>
      <c r="B1207" s="403">
        <f t="shared" si="8"/>
        <v>256420.97</v>
      </c>
      <c r="C1207" s="595">
        <v>256220.97</v>
      </c>
      <c r="D1207" s="596">
        <v>200</v>
      </c>
    </row>
    <row r="1208" spans="1:4" x14ac:dyDescent="0.2">
      <c r="A1208" s="416">
        <v>44056</v>
      </c>
      <c r="B1208" s="403">
        <f t="shared" si="8"/>
        <v>256421</v>
      </c>
      <c r="C1208" s="595">
        <v>256221</v>
      </c>
      <c r="D1208" s="596">
        <v>200</v>
      </c>
    </row>
    <row r="1209" spans="1:4" x14ac:dyDescent="0.2">
      <c r="A1209" s="416">
        <v>44057</v>
      </c>
      <c r="B1209" s="403">
        <f t="shared" si="8"/>
        <v>296838.09999999998</v>
      </c>
      <c r="C1209" s="595">
        <v>296638.09999999998</v>
      </c>
      <c r="D1209" s="596">
        <v>200</v>
      </c>
    </row>
    <row r="1210" spans="1:4" x14ac:dyDescent="0.2">
      <c r="A1210" s="416">
        <v>44060</v>
      </c>
      <c r="B1210" s="403">
        <f t="shared" si="8"/>
        <v>261012.14</v>
      </c>
      <c r="C1210" s="595">
        <v>260812.14</v>
      </c>
      <c r="D1210" s="596">
        <v>200</v>
      </c>
    </row>
    <row r="1211" spans="1:4" x14ac:dyDescent="0.2">
      <c r="A1211" s="416">
        <v>44061</v>
      </c>
      <c r="B1211" s="403">
        <f t="shared" si="8"/>
        <v>345553.24</v>
      </c>
      <c r="C1211" s="595">
        <v>345353.24</v>
      </c>
      <c r="D1211" s="596">
        <v>200</v>
      </c>
    </row>
    <row r="1212" spans="1:4" x14ac:dyDescent="0.2">
      <c r="A1212" s="416">
        <v>44062</v>
      </c>
      <c r="B1212" s="403">
        <f t="shared" si="8"/>
        <v>345720.24</v>
      </c>
      <c r="C1212" s="595">
        <v>345520.24</v>
      </c>
      <c r="D1212" s="596">
        <v>200</v>
      </c>
    </row>
    <row r="1213" spans="1:4" x14ac:dyDescent="0.2">
      <c r="A1213" s="416">
        <v>44063</v>
      </c>
      <c r="B1213" s="403">
        <f t="shared" si="8"/>
        <v>343380.65</v>
      </c>
      <c r="C1213" s="595">
        <v>343180.65</v>
      </c>
      <c r="D1213" s="596">
        <v>200</v>
      </c>
    </row>
    <row r="1214" spans="1:4" x14ac:dyDescent="0.2">
      <c r="A1214" s="416">
        <v>44064</v>
      </c>
      <c r="B1214" s="403">
        <f t="shared" si="8"/>
        <v>342938.36</v>
      </c>
      <c r="C1214" s="595">
        <v>342738.36</v>
      </c>
      <c r="D1214" s="596">
        <v>200</v>
      </c>
    </row>
    <row r="1215" spans="1:4" x14ac:dyDescent="0.2">
      <c r="A1215" s="416">
        <v>44067</v>
      </c>
      <c r="B1215" s="403">
        <f t="shared" si="8"/>
        <v>342938</v>
      </c>
      <c r="C1215" s="595">
        <v>342738</v>
      </c>
      <c r="D1215" s="596">
        <v>200</v>
      </c>
    </row>
    <row r="1216" spans="1:4" x14ac:dyDescent="0.2">
      <c r="A1216" s="416">
        <v>44068</v>
      </c>
      <c r="B1216" s="403">
        <f t="shared" si="8"/>
        <v>340515.33</v>
      </c>
      <c r="C1216" s="595">
        <v>340315.33</v>
      </c>
      <c r="D1216" s="596">
        <v>200</v>
      </c>
    </row>
    <row r="1217" spans="1:4" x14ac:dyDescent="0.2">
      <c r="A1217" s="416">
        <v>44069</v>
      </c>
      <c r="B1217" s="403">
        <f t="shared" si="8"/>
        <v>359946.57</v>
      </c>
      <c r="C1217" s="595">
        <v>359746.57</v>
      </c>
      <c r="D1217" s="596">
        <v>200</v>
      </c>
    </row>
    <row r="1218" spans="1:4" x14ac:dyDescent="0.2">
      <c r="A1218" s="416">
        <v>44070</v>
      </c>
      <c r="B1218" s="403">
        <f t="shared" si="8"/>
        <v>359946.57</v>
      </c>
      <c r="C1218" s="595">
        <v>359746.57</v>
      </c>
      <c r="D1218" s="596">
        <v>200</v>
      </c>
    </row>
    <row r="1219" spans="1:4" x14ac:dyDescent="0.2">
      <c r="A1219" s="416">
        <v>44071</v>
      </c>
      <c r="B1219" s="403">
        <f t="shared" si="8"/>
        <v>359946.57</v>
      </c>
      <c r="C1219" s="595">
        <v>359746.57</v>
      </c>
      <c r="D1219" s="596">
        <v>200</v>
      </c>
    </row>
    <row r="1220" spans="1:4" x14ac:dyDescent="0.2">
      <c r="A1220" s="416">
        <v>44074</v>
      </c>
      <c r="B1220" s="403">
        <f t="shared" si="8"/>
        <v>359946.57</v>
      </c>
      <c r="C1220" s="595">
        <v>359746.57</v>
      </c>
      <c r="D1220" s="596">
        <v>200</v>
      </c>
    </row>
    <row r="1221" spans="1:4" x14ac:dyDescent="0.2">
      <c r="A1221" s="416">
        <v>44075</v>
      </c>
      <c r="B1221" s="403">
        <f t="shared" si="8"/>
        <v>347126.06</v>
      </c>
      <c r="C1221" s="595">
        <v>346926.06</v>
      </c>
      <c r="D1221" s="596">
        <v>200</v>
      </c>
    </row>
    <row r="1222" spans="1:4" x14ac:dyDescent="0.2">
      <c r="A1222" s="416">
        <v>44076</v>
      </c>
      <c r="B1222" s="403">
        <f t="shared" si="8"/>
        <v>347075.06</v>
      </c>
      <c r="C1222" s="595">
        <v>346875.06</v>
      </c>
      <c r="D1222" s="596">
        <v>200</v>
      </c>
    </row>
    <row r="1223" spans="1:4" x14ac:dyDescent="0.2">
      <c r="A1223" s="416">
        <v>44077</v>
      </c>
      <c r="B1223" s="403">
        <f t="shared" si="8"/>
        <v>350416.44</v>
      </c>
      <c r="C1223" s="595">
        <v>350216.44</v>
      </c>
      <c r="D1223" s="596">
        <v>200</v>
      </c>
    </row>
    <row r="1224" spans="1:4" x14ac:dyDescent="0.2">
      <c r="A1224" s="416">
        <v>44078</v>
      </c>
      <c r="B1224" s="403">
        <f t="shared" si="8"/>
        <v>343258.81</v>
      </c>
      <c r="C1224" s="595">
        <v>343058.81</v>
      </c>
      <c r="D1224" s="596">
        <v>200</v>
      </c>
    </row>
    <row r="1225" spans="1:4" x14ac:dyDescent="0.2">
      <c r="A1225" s="416">
        <v>44081</v>
      </c>
      <c r="B1225" s="403">
        <f t="shared" si="8"/>
        <v>343258.81</v>
      </c>
      <c r="C1225" s="595">
        <v>343058.81</v>
      </c>
      <c r="D1225" s="596">
        <v>200</v>
      </c>
    </row>
    <row r="1226" spans="1:4" x14ac:dyDescent="0.2">
      <c r="A1226" s="416">
        <v>44082</v>
      </c>
      <c r="B1226" s="403">
        <f t="shared" si="8"/>
        <v>343258.81</v>
      </c>
      <c r="C1226" s="595">
        <v>343058.81</v>
      </c>
      <c r="D1226" s="596">
        <v>200</v>
      </c>
    </row>
    <row r="1227" spans="1:4" x14ac:dyDescent="0.2">
      <c r="A1227" s="416">
        <v>44083</v>
      </c>
      <c r="B1227" s="403">
        <f t="shared" si="8"/>
        <v>343258.81</v>
      </c>
      <c r="C1227" s="595">
        <v>343058.81</v>
      </c>
      <c r="D1227" s="596">
        <v>200</v>
      </c>
    </row>
    <row r="1228" spans="1:4" x14ac:dyDescent="0.2">
      <c r="A1228" s="416">
        <v>44084</v>
      </c>
      <c r="B1228" s="403">
        <f t="shared" si="8"/>
        <v>351420.85</v>
      </c>
      <c r="C1228" s="595">
        <v>351220.85</v>
      </c>
      <c r="D1228" s="596">
        <v>200</v>
      </c>
    </row>
    <row r="1229" spans="1:4" x14ac:dyDescent="0.2">
      <c r="A1229" s="416">
        <v>44085</v>
      </c>
      <c r="B1229" s="403">
        <f t="shared" si="8"/>
        <v>351420.85</v>
      </c>
      <c r="C1229" s="595">
        <v>351220.85</v>
      </c>
      <c r="D1229" s="596">
        <v>200</v>
      </c>
    </row>
    <row r="1230" spans="1:4" x14ac:dyDescent="0.2">
      <c r="A1230" s="416">
        <v>44088</v>
      </c>
      <c r="B1230" s="403">
        <f t="shared" si="8"/>
        <v>319295.21000000002</v>
      </c>
      <c r="C1230" s="595">
        <v>319095.21000000002</v>
      </c>
      <c r="D1230" s="596">
        <v>200</v>
      </c>
    </row>
    <row r="1231" spans="1:4" x14ac:dyDescent="0.2">
      <c r="A1231" s="416">
        <v>44089</v>
      </c>
      <c r="B1231" s="403">
        <f t="shared" si="8"/>
        <v>319390.87</v>
      </c>
      <c r="C1231" s="595">
        <v>319190.87</v>
      </c>
      <c r="D1231" s="596">
        <v>200</v>
      </c>
    </row>
    <row r="1232" spans="1:4" x14ac:dyDescent="0.2">
      <c r="A1232" s="416">
        <v>44090</v>
      </c>
      <c r="B1232" s="403">
        <f t="shared" si="8"/>
        <v>318221.31</v>
      </c>
      <c r="C1232" s="595">
        <v>318021.31</v>
      </c>
      <c r="D1232" s="596">
        <v>200</v>
      </c>
    </row>
    <row r="1233" spans="1:4" x14ac:dyDescent="0.2">
      <c r="A1233" s="416">
        <v>44091</v>
      </c>
      <c r="B1233" s="403">
        <f t="shared" si="8"/>
        <v>321494.34000000003</v>
      </c>
      <c r="C1233" s="595">
        <v>321294.34000000003</v>
      </c>
      <c r="D1233" s="596">
        <v>200</v>
      </c>
    </row>
    <row r="1234" spans="1:4" x14ac:dyDescent="0.2">
      <c r="A1234" s="416">
        <v>44092</v>
      </c>
      <c r="B1234" s="403">
        <f t="shared" si="8"/>
        <v>321052.05</v>
      </c>
      <c r="C1234" s="595">
        <v>320852.05</v>
      </c>
      <c r="D1234" s="596">
        <v>200</v>
      </c>
    </row>
    <row r="1235" spans="1:4" x14ac:dyDescent="0.2">
      <c r="A1235" s="416">
        <v>44095</v>
      </c>
      <c r="B1235" s="403">
        <f t="shared" si="8"/>
        <v>321052</v>
      </c>
      <c r="C1235" s="595">
        <v>320852</v>
      </c>
      <c r="D1235" s="596">
        <v>200</v>
      </c>
    </row>
    <row r="1236" spans="1:4" x14ac:dyDescent="0.2">
      <c r="A1236" s="416">
        <v>44096</v>
      </c>
      <c r="B1236" s="403">
        <f t="shared" si="8"/>
        <v>347075.9</v>
      </c>
      <c r="C1236" s="595">
        <v>346875.9</v>
      </c>
      <c r="D1236" s="596">
        <v>200</v>
      </c>
    </row>
    <row r="1237" spans="1:4" x14ac:dyDescent="0.2">
      <c r="A1237" s="416">
        <v>44097</v>
      </c>
      <c r="B1237" s="403">
        <f t="shared" si="8"/>
        <v>348950.3</v>
      </c>
      <c r="C1237" s="595">
        <v>348750.3</v>
      </c>
      <c r="D1237" s="596">
        <v>200</v>
      </c>
    </row>
    <row r="1238" spans="1:4" x14ac:dyDescent="0.2">
      <c r="A1238" s="416">
        <v>44098</v>
      </c>
      <c r="B1238" s="403">
        <f t="shared" si="8"/>
        <v>354130.18</v>
      </c>
      <c r="C1238" s="595">
        <v>353930.18</v>
      </c>
      <c r="D1238" s="596">
        <v>200</v>
      </c>
    </row>
    <row r="1239" spans="1:4" x14ac:dyDescent="0.2">
      <c r="A1239" s="416">
        <v>44099</v>
      </c>
      <c r="B1239" s="403">
        <f t="shared" si="8"/>
        <v>354086.18</v>
      </c>
      <c r="C1239" s="595">
        <v>353886.18</v>
      </c>
      <c r="D1239" s="596">
        <v>200</v>
      </c>
    </row>
    <row r="1240" spans="1:4" x14ac:dyDescent="0.2">
      <c r="A1240" s="416">
        <v>44102</v>
      </c>
      <c r="B1240" s="403">
        <f t="shared" si="8"/>
        <v>348608</v>
      </c>
      <c r="C1240" s="595">
        <v>348408</v>
      </c>
      <c r="D1240" s="596">
        <v>200</v>
      </c>
    </row>
    <row r="1241" spans="1:4" x14ac:dyDescent="0.2">
      <c r="A1241" s="416">
        <v>44103</v>
      </c>
      <c r="B1241" s="403">
        <f t="shared" si="8"/>
        <v>313591.89</v>
      </c>
      <c r="C1241" s="595">
        <v>313391.89</v>
      </c>
      <c r="D1241" s="596">
        <v>200</v>
      </c>
    </row>
    <row r="1242" spans="1:4" x14ac:dyDescent="0.2">
      <c r="A1242" s="416">
        <v>44104</v>
      </c>
      <c r="B1242" s="403">
        <f t="shared" si="8"/>
        <v>348489.68</v>
      </c>
      <c r="C1242" s="595">
        <v>348289.68</v>
      </c>
      <c r="D1242" s="596">
        <v>200</v>
      </c>
    </row>
    <row r="1243" spans="1:4" x14ac:dyDescent="0.2">
      <c r="A1243" s="416">
        <v>44105</v>
      </c>
      <c r="B1243" s="403">
        <f t="shared" si="8"/>
        <v>346634.44</v>
      </c>
      <c r="C1243" s="595">
        <v>346434.44</v>
      </c>
      <c r="D1243" s="596">
        <v>200</v>
      </c>
    </row>
    <row r="1244" spans="1:4" x14ac:dyDescent="0.2">
      <c r="A1244" s="416">
        <v>44106</v>
      </c>
      <c r="B1244" s="403">
        <f t="shared" si="8"/>
        <v>346390.75</v>
      </c>
      <c r="C1244" s="595">
        <v>346190.75</v>
      </c>
      <c r="D1244" s="596">
        <v>200</v>
      </c>
    </row>
    <row r="1245" spans="1:4" x14ac:dyDescent="0.2">
      <c r="A1245" s="416">
        <v>44109</v>
      </c>
      <c r="B1245" s="403">
        <f t="shared" si="8"/>
        <v>346313.83</v>
      </c>
      <c r="C1245" s="595">
        <v>346113.83</v>
      </c>
      <c r="D1245" s="596">
        <v>200</v>
      </c>
    </row>
    <row r="1246" spans="1:4" x14ac:dyDescent="0.2">
      <c r="A1246" s="416">
        <v>44110</v>
      </c>
      <c r="B1246" s="403">
        <f t="shared" si="8"/>
        <v>346084.99</v>
      </c>
      <c r="C1246" s="595">
        <v>345884.99</v>
      </c>
      <c r="D1246" s="596">
        <v>200</v>
      </c>
    </row>
    <row r="1247" spans="1:4" x14ac:dyDescent="0.2">
      <c r="A1247" s="416">
        <v>44111</v>
      </c>
      <c r="B1247" s="403">
        <f t="shared" si="8"/>
        <v>346085</v>
      </c>
      <c r="C1247" s="595">
        <v>345885</v>
      </c>
      <c r="D1247" s="596">
        <v>200</v>
      </c>
    </row>
    <row r="1248" spans="1:4" x14ac:dyDescent="0.2">
      <c r="A1248" s="416">
        <v>44112</v>
      </c>
      <c r="B1248" s="403">
        <f t="shared" si="8"/>
        <v>380839.99</v>
      </c>
      <c r="C1248" s="595">
        <v>380639.99</v>
      </c>
      <c r="D1248" s="596">
        <v>200</v>
      </c>
    </row>
    <row r="1249" spans="1:4" x14ac:dyDescent="0.2">
      <c r="A1249" s="416">
        <v>44113</v>
      </c>
      <c r="B1249" s="403">
        <f t="shared" si="8"/>
        <v>380840</v>
      </c>
      <c r="C1249" s="595">
        <v>380640</v>
      </c>
      <c r="D1249" s="596">
        <v>200</v>
      </c>
    </row>
    <row r="1250" spans="1:4" x14ac:dyDescent="0.2">
      <c r="A1250" s="416">
        <v>44116</v>
      </c>
      <c r="B1250" s="403">
        <f t="shared" si="8"/>
        <v>380840</v>
      </c>
      <c r="C1250" s="595">
        <v>380640</v>
      </c>
      <c r="D1250" s="596">
        <v>200</v>
      </c>
    </row>
    <row r="1251" spans="1:4" x14ac:dyDescent="0.2">
      <c r="A1251" s="416">
        <v>44117</v>
      </c>
      <c r="B1251" s="403">
        <f t="shared" si="8"/>
        <v>346182.3</v>
      </c>
      <c r="C1251" s="595">
        <v>345982.3</v>
      </c>
      <c r="D1251" s="596">
        <v>200</v>
      </c>
    </row>
    <row r="1252" spans="1:4" x14ac:dyDescent="0.2">
      <c r="A1252" s="416">
        <v>44118</v>
      </c>
      <c r="B1252" s="403">
        <f t="shared" si="8"/>
        <v>346103.46</v>
      </c>
      <c r="C1252" s="595">
        <v>345903.46</v>
      </c>
      <c r="D1252" s="596">
        <v>200</v>
      </c>
    </row>
    <row r="1253" spans="1:4" x14ac:dyDescent="0.2">
      <c r="A1253" s="416">
        <v>44119</v>
      </c>
      <c r="B1253" s="403">
        <f t="shared" si="8"/>
        <v>339569.88</v>
      </c>
      <c r="C1253" s="595">
        <v>339369.88</v>
      </c>
      <c r="D1253" s="596">
        <v>200</v>
      </c>
    </row>
    <row r="1254" spans="1:4" x14ac:dyDescent="0.2">
      <c r="A1254" s="416">
        <v>44120</v>
      </c>
      <c r="B1254" s="403">
        <f t="shared" si="8"/>
        <v>364967.49</v>
      </c>
      <c r="C1254" s="595">
        <v>364767.49</v>
      </c>
      <c r="D1254" s="596">
        <v>200</v>
      </c>
    </row>
    <row r="1255" spans="1:4" x14ac:dyDescent="0.2">
      <c r="A1255" s="416">
        <v>44123</v>
      </c>
      <c r="B1255" s="403">
        <f t="shared" si="8"/>
        <v>343525.33</v>
      </c>
      <c r="C1255" s="595">
        <v>343325.33</v>
      </c>
      <c r="D1255" s="596">
        <v>200</v>
      </c>
    </row>
    <row r="1256" spans="1:4" x14ac:dyDescent="0.2">
      <c r="A1256" s="416">
        <v>44124</v>
      </c>
      <c r="B1256" s="403">
        <f t="shared" si="8"/>
        <v>343525</v>
      </c>
      <c r="C1256" s="595">
        <v>343325</v>
      </c>
      <c r="D1256" s="596">
        <v>200</v>
      </c>
    </row>
    <row r="1257" spans="1:4" x14ac:dyDescent="0.2">
      <c r="A1257" s="416">
        <v>44125</v>
      </c>
      <c r="B1257" s="403">
        <f t="shared" si="8"/>
        <v>340413.21</v>
      </c>
      <c r="C1257" s="595">
        <v>340213.21</v>
      </c>
      <c r="D1257" s="596">
        <v>200</v>
      </c>
    </row>
    <row r="1258" spans="1:4" x14ac:dyDescent="0.2">
      <c r="A1258" s="416">
        <v>44126</v>
      </c>
      <c r="B1258" s="403">
        <f t="shared" si="8"/>
        <v>354245.2</v>
      </c>
      <c r="C1258" s="595">
        <v>354045.2</v>
      </c>
      <c r="D1258" s="596">
        <v>200</v>
      </c>
    </row>
    <row r="1259" spans="1:4" x14ac:dyDescent="0.2">
      <c r="A1259" s="416">
        <v>44127</v>
      </c>
      <c r="B1259" s="403">
        <f t="shared" si="8"/>
        <v>354086.35</v>
      </c>
      <c r="C1259" s="595">
        <v>353886.35</v>
      </c>
      <c r="D1259" s="596">
        <v>200</v>
      </c>
    </row>
    <row r="1260" spans="1:4" x14ac:dyDescent="0.2">
      <c r="A1260" s="416">
        <v>44130</v>
      </c>
      <c r="B1260" s="403">
        <f t="shared" si="8"/>
        <v>354086</v>
      </c>
      <c r="C1260" s="595">
        <v>353886</v>
      </c>
      <c r="D1260" s="596">
        <v>200</v>
      </c>
    </row>
    <row r="1261" spans="1:4" x14ac:dyDescent="0.2">
      <c r="A1261" s="416">
        <v>44131</v>
      </c>
      <c r="B1261" s="403">
        <f t="shared" si="8"/>
        <v>312941.49</v>
      </c>
      <c r="C1261" s="595">
        <v>312741.49</v>
      </c>
      <c r="D1261" s="596">
        <v>200</v>
      </c>
    </row>
    <row r="1262" spans="1:4" x14ac:dyDescent="0.2">
      <c r="A1262" s="416">
        <v>44132</v>
      </c>
      <c r="B1262" s="403">
        <f t="shared" si="8"/>
        <v>312941</v>
      </c>
      <c r="C1262" s="595">
        <v>312741</v>
      </c>
      <c r="D1262" s="596">
        <v>200</v>
      </c>
    </row>
    <row r="1263" spans="1:4" x14ac:dyDescent="0.2">
      <c r="A1263" s="416">
        <v>44133</v>
      </c>
      <c r="B1263" s="403">
        <f t="shared" ref="B1263:B1326" si="9">C1263+D1263</f>
        <v>312941</v>
      </c>
      <c r="C1263" s="595">
        <v>312741</v>
      </c>
      <c r="D1263" s="596">
        <v>200</v>
      </c>
    </row>
    <row r="1264" spans="1:4" x14ac:dyDescent="0.2">
      <c r="A1264" s="416">
        <v>44134</v>
      </c>
      <c r="B1264" s="403">
        <f t="shared" si="9"/>
        <v>336359.66</v>
      </c>
      <c r="C1264" s="595">
        <v>336159.66</v>
      </c>
      <c r="D1264" s="596">
        <v>200</v>
      </c>
    </row>
    <row r="1265" spans="1:4" x14ac:dyDescent="0.2">
      <c r="A1265" s="416">
        <v>44137</v>
      </c>
      <c r="B1265" s="403">
        <f t="shared" si="9"/>
        <v>336077.1</v>
      </c>
      <c r="C1265" s="595">
        <v>335877.1</v>
      </c>
      <c r="D1265" s="596">
        <v>200</v>
      </c>
    </row>
    <row r="1266" spans="1:4" x14ac:dyDescent="0.2">
      <c r="A1266" s="416">
        <v>44138</v>
      </c>
      <c r="B1266" s="403">
        <f t="shared" si="9"/>
        <v>336077</v>
      </c>
      <c r="C1266" s="595">
        <v>335877</v>
      </c>
      <c r="D1266" s="596">
        <v>200</v>
      </c>
    </row>
    <row r="1267" spans="1:4" x14ac:dyDescent="0.2">
      <c r="A1267" s="416">
        <v>44139</v>
      </c>
      <c r="B1267" s="403">
        <f t="shared" si="9"/>
        <v>328153.34999999998</v>
      </c>
      <c r="C1267" s="595">
        <v>327953.34999999998</v>
      </c>
      <c r="D1267" s="596">
        <v>200</v>
      </c>
    </row>
    <row r="1268" spans="1:4" x14ac:dyDescent="0.2">
      <c r="A1268" s="416">
        <v>44140</v>
      </c>
      <c r="B1268" s="403">
        <f t="shared" si="9"/>
        <v>328497.34999999998</v>
      </c>
      <c r="C1268" s="595">
        <v>328297.34999999998</v>
      </c>
      <c r="D1268" s="596">
        <v>200</v>
      </c>
    </row>
    <row r="1269" spans="1:4" x14ac:dyDescent="0.2">
      <c r="A1269" s="416">
        <v>44141</v>
      </c>
      <c r="B1269" s="403">
        <f t="shared" si="9"/>
        <v>327078.57</v>
      </c>
      <c r="C1269" s="595">
        <v>326878.57</v>
      </c>
      <c r="D1269" s="596">
        <v>200</v>
      </c>
    </row>
    <row r="1270" spans="1:4" x14ac:dyDescent="0.2">
      <c r="A1270" s="416">
        <v>44144</v>
      </c>
      <c r="B1270" s="403">
        <f t="shared" si="9"/>
        <v>293224.96000000002</v>
      </c>
      <c r="C1270" s="595">
        <v>293024.96000000002</v>
      </c>
      <c r="D1270" s="596">
        <v>200</v>
      </c>
    </row>
    <row r="1271" spans="1:4" x14ac:dyDescent="0.2">
      <c r="A1271" s="416">
        <v>44145</v>
      </c>
      <c r="B1271" s="403">
        <f t="shared" si="9"/>
        <v>297955.08</v>
      </c>
      <c r="C1271" s="595">
        <v>297755.08</v>
      </c>
      <c r="D1271" s="596">
        <v>200</v>
      </c>
    </row>
    <row r="1272" spans="1:4" x14ac:dyDescent="0.2">
      <c r="A1272" s="416">
        <v>44146</v>
      </c>
      <c r="B1272" s="403">
        <f t="shared" si="9"/>
        <v>297955</v>
      </c>
      <c r="C1272" s="595">
        <v>297755</v>
      </c>
      <c r="D1272" s="596">
        <v>200</v>
      </c>
    </row>
    <row r="1273" spans="1:4" x14ac:dyDescent="0.2">
      <c r="A1273" s="416">
        <v>44147</v>
      </c>
      <c r="B1273" s="403">
        <f t="shared" si="9"/>
        <v>301097.59000000003</v>
      </c>
      <c r="C1273" s="595">
        <v>300897.59000000003</v>
      </c>
      <c r="D1273" s="596">
        <v>200</v>
      </c>
    </row>
    <row r="1274" spans="1:4" x14ac:dyDescent="0.2">
      <c r="A1274" s="416">
        <v>44148</v>
      </c>
      <c r="B1274" s="403">
        <f t="shared" si="9"/>
        <v>300720.71000000002</v>
      </c>
      <c r="C1274" s="595">
        <v>300520.71000000002</v>
      </c>
      <c r="D1274" s="596">
        <v>200</v>
      </c>
    </row>
    <row r="1275" spans="1:4" x14ac:dyDescent="0.2">
      <c r="A1275" s="416">
        <v>44151</v>
      </c>
      <c r="B1275" s="403">
        <f t="shared" si="9"/>
        <v>300721</v>
      </c>
      <c r="C1275" s="595">
        <v>300521</v>
      </c>
      <c r="D1275" s="596">
        <v>200</v>
      </c>
    </row>
    <row r="1276" spans="1:4" x14ac:dyDescent="0.2">
      <c r="A1276" s="416">
        <v>44152</v>
      </c>
      <c r="B1276" s="403">
        <f t="shared" si="9"/>
        <v>300721</v>
      </c>
      <c r="C1276" s="595">
        <v>300521</v>
      </c>
      <c r="D1276" s="596">
        <v>200</v>
      </c>
    </row>
    <row r="1277" spans="1:4" x14ac:dyDescent="0.2">
      <c r="A1277" s="416">
        <v>44153</v>
      </c>
      <c r="B1277" s="403">
        <f t="shared" si="9"/>
        <v>298371.37</v>
      </c>
      <c r="C1277" s="595">
        <v>298171.37</v>
      </c>
      <c r="D1277" s="596">
        <v>200</v>
      </c>
    </row>
    <row r="1278" spans="1:4" x14ac:dyDescent="0.2">
      <c r="A1278" s="416">
        <v>44154</v>
      </c>
      <c r="B1278" s="403">
        <f t="shared" si="9"/>
        <v>298371</v>
      </c>
      <c r="C1278" s="595">
        <v>298171</v>
      </c>
      <c r="D1278" s="596">
        <v>200</v>
      </c>
    </row>
    <row r="1279" spans="1:4" x14ac:dyDescent="0.2">
      <c r="A1279" s="416">
        <v>44155</v>
      </c>
      <c r="B1279" s="403">
        <f t="shared" si="9"/>
        <v>297912.75</v>
      </c>
      <c r="C1279" s="595">
        <v>297712.75</v>
      </c>
      <c r="D1279" s="596">
        <v>200</v>
      </c>
    </row>
    <row r="1280" spans="1:4" x14ac:dyDescent="0.2">
      <c r="A1280" s="416">
        <v>44158</v>
      </c>
      <c r="B1280" s="403">
        <f t="shared" si="9"/>
        <v>260100.75</v>
      </c>
      <c r="C1280" s="595">
        <v>259900.75</v>
      </c>
      <c r="D1280" s="596">
        <v>200</v>
      </c>
    </row>
    <row r="1281" spans="1:4" x14ac:dyDescent="0.2">
      <c r="A1281" s="416">
        <v>44159</v>
      </c>
      <c r="B1281" s="403">
        <f t="shared" si="9"/>
        <v>260101</v>
      </c>
      <c r="C1281" s="595">
        <v>259901</v>
      </c>
      <c r="D1281" s="596">
        <v>200</v>
      </c>
    </row>
    <row r="1282" spans="1:4" x14ac:dyDescent="0.2">
      <c r="A1282" s="416">
        <v>44160</v>
      </c>
      <c r="B1282" s="403">
        <f t="shared" si="9"/>
        <v>259952.43</v>
      </c>
      <c r="C1282" s="595">
        <v>259752.43</v>
      </c>
      <c r="D1282" s="596">
        <v>200</v>
      </c>
    </row>
    <row r="1283" spans="1:4" x14ac:dyDescent="0.2">
      <c r="A1283" s="416">
        <v>44161</v>
      </c>
      <c r="B1283" s="403">
        <f t="shared" si="9"/>
        <v>259952</v>
      </c>
      <c r="C1283" s="595">
        <v>259752</v>
      </c>
      <c r="D1283" s="596">
        <v>200</v>
      </c>
    </row>
    <row r="1284" spans="1:4" x14ac:dyDescent="0.2">
      <c r="A1284" s="416">
        <v>44162</v>
      </c>
      <c r="B1284" s="403">
        <f t="shared" si="9"/>
        <v>261011.41</v>
      </c>
      <c r="C1284" s="595">
        <v>260811.41</v>
      </c>
      <c r="D1284" s="596">
        <v>200</v>
      </c>
    </row>
    <row r="1285" spans="1:4" x14ac:dyDescent="0.2">
      <c r="A1285" s="416">
        <v>44165</v>
      </c>
      <c r="B1285" s="403">
        <f t="shared" si="9"/>
        <v>256570.76</v>
      </c>
      <c r="C1285" s="595">
        <v>256370.76</v>
      </c>
      <c r="D1285" s="596">
        <v>200</v>
      </c>
    </row>
    <row r="1286" spans="1:4" x14ac:dyDescent="0.2">
      <c r="A1286" s="416">
        <v>44166</v>
      </c>
      <c r="B1286" s="403">
        <f t="shared" si="9"/>
        <v>256571</v>
      </c>
      <c r="C1286" s="595">
        <v>256371</v>
      </c>
      <c r="D1286" s="596">
        <v>200</v>
      </c>
    </row>
    <row r="1287" spans="1:4" x14ac:dyDescent="0.2">
      <c r="A1287" s="416">
        <v>44167</v>
      </c>
      <c r="B1287" s="403">
        <f t="shared" si="9"/>
        <v>343824.57</v>
      </c>
      <c r="C1287" s="595">
        <v>343624.57</v>
      </c>
      <c r="D1287" s="596">
        <v>200</v>
      </c>
    </row>
    <row r="1288" spans="1:4" x14ac:dyDescent="0.2">
      <c r="A1288" s="416">
        <v>44168</v>
      </c>
      <c r="B1288" s="403">
        <f t="shared" si="9"/>
        <v>348428.77</v>
      </c>
      <c r="C1288" s="595">
        <v>348228.77</v>
      </c>
      <c r="D1288" s="596">
        <v>200</v>
      </c>
    </row>
    <row r="1289" spans="1:4" x14ac:dyDescent="0.2">
      <c r="A1289" s="416">
        <v>44169</v>
      </c>
      <c r="B1289" s="403">
        <f t="shared" si="9"/>
        <v>348429</v>
      </c>
      <c r="C1289" s="595">
        <v>348229</v>
      </c>
      <c r="D1289" s="596">
        <v>200</v>
      </c>
    </row>
    <row r="1290" spans="1:4" x14ac:dyDescent="0.2">
      <c r="A1290" s="416">
        <v>44172</v>
      </c>
      <c r="B1290" s="403">
        <f t="shared" si="9"/>
        <v>313593.81</v>
      </c>
      <c r="C1290" s="595">
        <v>313393.81</v>
      </c>
      <c r="D1290" s="596">
        <v>200</v>
      </c>
    </row>
    <row r="1291" spans="1:4" x14ac:dyDescent="0.2">
      <c r="A1291" s="416">
        <v>44173</v>
      </c>
      <c r="B1291" s="403">
        <f t="shared" si="9"/>
        <v>320775.28999999998</v>
      </c>
      <c r="C1291" s="595">
        <v>320575.28999999998</v>
      </c>
      <c r="D1291" s="596">
        <v>200</v>
      </c>
    </row>
    <row r="1292" spans="1:4" x14ac:dyDescent="0.2">
      <c r="A1292" s="416">
        <v>44174</v>
      </c>
      <c r="B1292" s="403">
        <f t="shared" si="9"/>
        <v>321115.28999999998</v>
      </c>
      <c r="C1292" s="595">
        <v>320915.28999999998</v>
      </c>
      <c r="D1292" s="596">
        <v>200</v>
      </c>
    </row>
    <row r="1293" spans="1:4" x14ac:dyDescent="0.2">
      <c r="A1293" s="416">
        <v>44175</v>
      </c>
      <c r="B1293" s="403">
        <f t="shared" si="9"/>
        <v>314719.49</v>
      </c>
      <c r="C1293" s="595">
        <v>314519.49</v>
      </c>
      <c r="D1293" s="596">
        <v>200</v>
      </c>
    </row>
    <row r="1294" spans="1:4" x14ac:dyDescent="0.2">
      <c r="A1294" s="416">
        <v>44176</v>
      </c>
      <c r="B1294" s="403">
        <f t="shared" si="9"/>
        <v>317009.81</v>
      </c>
      <c r="C1294" s="595">
        <v>316809.81</v>
      </c>
      <c r="D1294" s="596">
        <v>200</v>
      </c>
    </row>
    <row r="1295" spans="1:4" x14ac:dyDescent="0.2">
      <c r="A1295" s="416">
        <v>44179</v>
      </c>
      <c r="B1295" s="403">
        <f t="shared" si="9"/>
        <v>316409.81</v>
      </c>
      <c r="C1295" s="595">
        <v>316209.81</v>
      </c>
      <c r="D1295" s="596">
        <v>200</v>
      </c>
    </row>
    <row r="1296" spans="1:4" x14ac:dyDescent="0.2">
      <c r="A1296" s="416">
        <v>44180</v>
      </c>
      <c r="B1296" s="403">
        <f t="shared" si="9"/>
        <v>316462.65000000002</v>
      </c>
      <c r="C1296" s="595">
        <v>316262.65000000002</v>
      </c>
      <c r="D1296" s="596">
        <v>200</v>
      </c>
    </row>
    <row r="1297" spans="1:4" x14ac:dyDescent="0.2">
      <c r="A1297" s="416">
        <v>44181</v>
      </c>
      <c r="B1297" s="403">
        <f t="shared" si="9"/>
        <v>337790.61</v>
      </c>
      <c r="C1297" s="595">
        <v>337590.61</v>
      </c>
      <c r="D1297" s="596">
        <v>200</v>
      </c>
    </row>
    <row r="1298" spans="1:4" x14ac:dyDescent="0.2">
      <c r="A1298" s="416">
        <v>44182</v>
      </c>
      <c r="B1298" s="403">
        <f t="shared" si="9"/>
        <v>337791</v>
      </c>
      <c r="C1298" s="595">
        <v>337591</v>
      </c>
      <c r="D1298" s="596">
        <v>200</v>
      </c>
    </row>
    <row r="1299" spans="1:4" x14ac:dyDescent="0.2">
      <c r="A1299" s="416">
        <v>44183</v>
      </c>
      <c r="B1299" s="403">
        <f t="shared" si="9"/>
        <v>337791</v>
      </c>
      <c r="C1299" s="595">
        <v>337591</v>
      </c>
      <c r="D1299" s="596">
        <v>200</v>
      </c>
    </row>
    <row r="1300" spans="1:4" x14ac:dyDescent="0.2">
      <c r="A1300" s="416">
        <v>44186</v>
      </c>
      <c r="B1300" s="403">
        <f t="shared" si="9"/>
        <v>304627.44</v>
      </c>
      <c r="C1300" s="595">
        <v>304427.44</v>
      </c>
      <c r="D1300" s="596">
        <v>200</v>
      </c>
    </row>
    <row r="1301" spans="1:4" x14ac:dyDescent="0.2">
      <c r="A1301" s="416">
        <v>44187</v>
      </c>
      <c r="B1301" s="403">
        <f t="shared" si="9"/>
        <v>304802.88</v>
      </c>
      <c r="C1301" s="595">
        <v>304602.88</v>
      </c>
      <c r="D1301" s="596">
        <v>200</v>
      </c>
    </row>
    <row r="1302" spans="1:4" x14ac:dyDescent="0.2">
      <c r="A1302" s="416">
        <v>44188</v>
      </c>
      <c r="B1302" s="403">
        <f t="shared" si="9"/>
        <v>304803</v>
      </c>
      <c r="C1302" s="595">
        <v>304603</v>
      </c>
      <c r="D1302" s="596">
        <v>200</v>
      </c>
    </row>
    <row r="1303" spans="1:4" x14ac:dyDescent="0.2">
      <c r="A1303" s="416">
        <v>44189</v>
      </c>
      <c r="B1303" s="403">
        <f t="shared" si="9"/>
        <v>338461.96</v>
      </c>
      <c r="C1303" s="595">
        <v>338261.96</v>
      </c>
      <c r="D1303" s="596">
        <v>200</v>
      </c>
    </row>
    <row r="1304" spans="1:4" x14ac:dyDescent="0.2">
      <c r="A1304" s="416">
        <v>44190</v>
      </c>
      <c r="B1304" s="403">
        <f t="shared" si="9"/>
        <v>338462</v>
      </c>
      <c r="C1304" s="595">
        <v>338262</v>
      </c>
      <c r="D1304" s="596">
        <v>200</v>
      </c>
    </row>
    <row r="1305" spans="1:4" x14ac:dyDescent="0.2">
      <c r="A1305" s="416">
        <v>44193</v>
      </c>
      <c r="B1305" s="403">
        <f t="shared" si="9"/>
        <v>373533.96</v>
      </c>
      <c r="C1305" s="595">
        <v>373333.96</v>
      </c>
      <c r="D1305" s="596">
        <v>200</v>
      </c>
    </row>
    <row r="1306" spans="1:4" x14ac:dyDescent="0.2">
      <c r="A1306" s="416">
        <v>44194</v>
      </c>
      <c r="B1306" s="403">
        <f t="shared" si="9"/>
        <v>373168.21</v>
      </c>
      <c r="C1306" s="595">
        <v>372968.21</v>
      </c>
      <c r="D1306" s="596">
        <v>200</v>
      </c>
    </row>
    <row r="1307" spans="1:4" x14ac:dyDescent="0.2">
      <c r="A1307" s="416">
        <v>44195</v>
      </c>
      <c r="B1307" s="403">
        <f t="shared" si="9"/>
        <v>375552.7</v>
      </c>
      <c r="C1307" s="595">
        <v>375352.7</v>
      </c>
      <c r="D1307" s="596">
        <v>200</v>
      </c>
    </row>
    <row r="1308" spans="1:4" x14ac:dyDescent="0.2">
      <c r="A1308" s="416">
        <v>44196</v>
      </c>
      <c r="B1308" s="403">
        <f t="shared" si="9"/>
        <v>397543.49</v>
      </c>
      <c r="C1308" s="595">
        <v>397343.49</v>
      </c>
      <c r="D1308" s="596">
        <v>200</v>
      </c>
    </row>
    <row r="1309" spans="1:4" x14ac:dyDescent="0.2">
      <c r="A1309" s="416">
        <v>44197</v>
      </c>
      <c r="B1309" s="403">
        <f t="shared" si="9"/>
        <v>397543</v>
      </c>
      <c r="C1309" s="595">
        <v>397343</v>
      </c>
      <c r="D1309" s="596">
        <v>200</v>
      </c>
    </row>
    <row r="1310" spans="1:4" x14ac:dyDescent="0.2">
      <c r="A1310" s="416">
        <v>44200</v>
      </c>
      <c r="B1310" s="403">
        <f t="shared" si="9"/>
        <v>380539.51</v>
      </c>
      <c r="C1310" s="595">
        <v>380339.51</v>
      </c>
      <c r="D1310" s="596">
        <v>200</v>
      </c>
    </row>
    <row r="1311" spans="1:4" x14ac:dyDescent="0.2">
      <c r="A1311" s="416">
        <v>44201</v>
      </c>
      <c r="B1311" s="403">
        <f t="shared" si="9"/>
        <v>349091.91</v>
      </c>
      <c r="C1311" s="595">
        <v>348891.91</v>
      </c>
      <c r="D1311" s="596">
        <v>200</v>
      </c>
    </row>
    <row r="1312" spans="1:4" x14ac:dyDescent="0.2">
      <c r="A1312" s="416">
        <v>44202</v>
      </c>
      <c r="B1312" s="403">
        <f t="shared" si="9"/>
        <v>349092</v>
      </c>
      <c r="C1312" s="595">
        <v>348892</v>
      </c>
      <c r="D1312" s="596">
        <v>200</v>
      </c>
    </row>
    <row r="1313" spans="1:4" x14ac:dyDescent="0.2">
      <c r="A1313" s="416">
        <v>44203</v>
      </c>
      <c r="B1313" s="403">
        <f t="shared" si="9"/>
        <v>409281.75</v>
      </c>
      <c r="C1313" s="595">
        <v>409081.75</v>
      </c>
      <c r="D1313" s="596">
        <v>200</v>
      </c>
    </row>
    <row r="1314" spans="1:4" x14ac:dyDescent="0.2">
      <c r="A1314" s="416">
        <v>44204</v>
      </c>
      <c r="B1314" s="403">
        <f t="shared" si="9"/>
        <v>408971.69</v>
      </c>
      <c r="C1314" s="595">
        <v>408771.69</v>
      </c>
      <c r="D1314" s="596">
        <v>200</v>
      </c>
    </row>
    <row r="1315" spans="1:4" x14ac:dyDescent="0.2">
      <c r="A1315" s="416">
        <v>44207</v>
      </c>
      <c r="B1315" s="403">
        <f t="shared" si="9"/>
        <v>408739.83</v>
      </c>
      <c r="C1315" s="595">
        <v>408539.83</v>
      </c>
      <c r="D1315" s="596">
        <v>200</v>
      </c>
    </row>
    <row r="1316" spans="1:4" x14ac:dyDescent="0.2">
      <c r="A1316" s="416">
        <v>44208</v>
      </c>
      <c r="B1316" s="403">
        <f t="shared" si="9"/>
        <v>401650.97</v>
      </c>
      <c r="C1316" s="595">
        <v>401450.97</v>
      </c>
      <c r="D1316" s="596">
        <v>200</v>
      </c>
    </row>
    <row r="1317" spans="1:4" x14ac:dyDescent="0.2">
      <c r="A1317" s="416">
        <v>44209</v>
      </c>
      <c r="B1317" s="403">
        <f t="shared" si="9"/>
        <v>413709.67</v>
      </c>
      <c r="C1317" s="595">
        <v>413509.67</v>
      </c>
      <c r="D1317" s="596">
        <v>200</v>
      </c>
    </row>
    <row r="1318" spans="1:4" x14ac:dyDescent="0.2">
      <c r="A1318" s="416">
        <v>44210</v>
      </c>
      <c r="B1318" s="403">
        <f t="shared" si="9"/>
        <v>412321.56</v>
      </c>
      <c r="C1318" s="595">
        <v>412121.56</v>
      </c>
      <c r="D1318" s="596">
        <v>200</v>
      </c>
    </row>
    <row r="1319" spans="1:4" x14ac:dyDescent="0.2">
      <c r="A1319" s="416">
        <v>44211</v>
      </c>
      <c r="B1319" s="403">
        <f t="shared" si="9"/>
        <v>412384.91</v>
      </c>
      <c r="C1319" s="595">
        <v>412184.91</v>
      </c>
      <c r="D1319" s="596">
        <v>200</v>
      </c>
    </row>
    <row r="1320" spans="1:4" x14ac:dyDescent="0.2">
      <c r="A1320" s="416">
        <v>44214</v>
      </c>
      <c r="B1320" s="403">
        <f t="shared" si="9"/>
        <v>412385</v>
      </c>
      <c r="C1320" s="595">
        <v>412185</v>
      </c>
      <c r="D1320" s="596">
        <v>200</v>
      </c>
    </row>
    <row r="1321" spans="1:4" x14ac:dyDescent="0.2">
      <c r="A1321" s="416">
        <v>44215</v>
      </c>
      <c r="B1321" s="403">
        <f t="shared" si="9"/>
        <v>417699.08</v>
      </c>
      <c r="C1321" s="595">
        <v>417499.08</v>
      </c>
      <c r="D1321" s="596">
        <v>200</v>
      </c>
    </row>
    <row r="1322" spans="1:4" x14ac:dyDescent="0.2">
      <c r="A1322" s="416">
        <v>44216</v>
      </c>
      <c r="B1322" s="444">
        <f t="shared" si="9"/>
        <v>417952.08</v>
      </c>
      <c r="C1322" s="595">
        <v>417752.08</v>
      </c>
      <c r="D1322" s="596">
        <v>200</v>
      </c>
    </row>
    <row r="1323" spans="1:4" x14ac:dyDescent="0.2">
      <c r="A1323" s="416">
        <v>44217</v>
      </c>
      <c r="B1323" s="403">
        <f t="shared" si="9"/>
        <v>402996.41</v>
      </c>
      <c r="C1323" s="595">
        <v>402796.41</v>
      </c>
      <c r="D1323" s="596">
        <v>200</v>
      </c>
    </row>
    <row r="1324" spans="1:4" x14ac:dyDescent="0.2">
      <c r="A1324" s="416">
        <v>44218</v>
      </c>
      <c r="B1324" s="403">
        <f t="shared" si="9"/>
        <v>402527.5</v>
      </c>
      <c r="C1324" s="595">
        <v>402327.5</v>
      </c>
      <c r="D1324" s="596">
        <v>200</v>
      </c>
    </row>
    <row r="1325" spans="1:4" x14ac:dyDescent="0.2">
      <c r="A1325" s="416">
        <v>44221</v>
      </c>
      <c r="B1325" s="403">
        <f t="shared" si="9"/>
        <v>402528</v>
      </c>
      <c r="C1325" s="595">
        <v>402328</v>
      </c>
      <c r="D1325" s="596">
        <v>200</v>
      </c>
    </row>
    <row r="1326" spans="1:4" x14ac:dyDescent="0.2">
      <c r="A1326" s="416">
        <v>44222</v>
      </c>
      <c r="B1326" s="403">
        <f t="shared" si="9"/>
        <v>399742.18</v>
      </c>
      <c r="C1326" s="595">
        <v>399542.18</v>
      </c>
      <c r="D1326" s="596">
        <v>200</v>
      </c>
    </row>
    <row r="1327" spans="1:4" x14ac:dyDescent="0.2">
      <c r="A1327" s="416">
        <v>44223</v>
      </c>
      <c r="B1327" s="403">
        <f t="shared" ref="B1327:B1390" si="10">C1327+D1327</f>
        <v>399886.18</v>
      </c>
      <c r="C1327" s="595">
        <v>399686.18</v>
      </c>
      <c r="D1327" s="596">
        <v>200</v>
      </c>
    </row>
    <row r="1328" spans="1:4" x14ac:dyDescent="0.2">
      <c r="A1328" s="416">
        <v>44224</v>
      </c>
      <c r="B1328" s="403">
        <f t="shared" si="10"/>
        <v>393628.47</v>
      </c>
      <c r="C1328" s="595">
        <v>393428.47</v>
      </c>
      <c r="D1328" s="596">
        <v>200</v>
      </c>
    </row>
    <row r="1329" spans="1:4" x14ac:dyDescent="0.2">
      <c r="A1329" s="416">
        <v>44225</v>
      </c>
      <c r="B1329" s="403">
        <f t="shared" si="10"/>
        <v>393628</v>
      </c>
      <c r="C1329" s="595">
        <v>393428</v>
      </c>
      <c r="D1329" s="596">
        <v>200</v>
      </c>
    </row>
    <row r="1330" spans="1:4" x14ac:dyDescent="0.2">
      <c r="A1330" s="416">
        <v>44228</v>
      </c>
      <c r="B1330" s="403">
        <f t="shared" si="10"/>
        <v>393628</v>
      </c>
      <c r="C1330" s="595">
        <v>393428</v>
      </c>
      <c r="D1330" s="596">
        <v>200</v>
      </c>
    </row>
    <row r="1331" spans="1:4" x14ac:dyDescent="0.2">
      <c r="A1331" s="416">
        <v>44229</v>
      </c>
      <c r="B1331" s="403">
        <f t="shared" si="10"/>
        <v>359326.4</v>
      </c>
      <c r="C1331" s="595">
        <v>359126.4</v>
      </c>
      <c r="D1331" s="596">
        <v>200</v>
      </c>
    </row>
    <row r="1332" spans="1:4" x14ac:dyDescent="0.2">
      <c r="A1332" s="416">
        <v>44230</v>
      </c>
      <c r="B1332" s="403">
        <f t="shared" si="10"/>
        <v>359521.7</v>
      </c>
      <c r="C1332" s="595">
        <v>359321.7</v>
      </c>
      <c r="D1332" s="596">
        <v>200</v>
      </c>
    </row>
    <row r="1333" spans="1:4" x14ac:dyDescent="0.2">
      <c r="A1333" s="416">
        <v>44231</v>
      </c>
      <c r="B1333" s="403">
        <f t="shared" si="10"/>
        <v>359522</v>
      </c>
      <c r="C1333" s="595">
        <v>359322</v>
      </c>
      <c r="D1333" s="596">
        <v>200</v>
      </c>
    </row>
    <row r="1334" spans="1:4" x14ac:dyDescent="0.2">
      <c r="A1334" s="416">
        <v>44232</v>
      </c>
      <c r="B1334" s="403">
        <f t="shared" si="10"/>
        <v>347055.28</v>
      </c>
      <c r="C1334" s="595">
        <v>346855.28</v>
      </c>
      <c r="D1334" s="596">
        <v>200</v>
      </c>
    </row>
    <row r="1335" spans="1:4" x14ac:dyDescent="0.2">
      <c r="A1335" s="416">
        <v>44235</v>
      </c>
      <c r="B1335" s="403">
        <f t="shared" si="10"/>
        <v>369629.13</v>
      </c>
      <c r="C1335" s="595">
        <v>369429.13</v>
      </c>
      <c r="D1335" s="596">
        <v>200</v>
      </c>
    </row>
    <row r="1336" spans="1:4" x14ac:dyDescent="0.2">
      <c r="A1336" s="416">
        <v>44236</v>
      </c>
      <c r="B1336" s="403">
        <f t="shared" si="10"/>
        <v>382278.77</v>
      </c>
      <c r="C1336" s="595">
        <v>382078.77</v>
      </c>
      <c r="D1336" s="596">
        <v>200</v>
      </c>
    </row>
    <row r="1337" spans="1:4" x14ac:dyDescent="0.2">
      <c r="A1337" s="416">
        <v>44237</v>
      </c>
      <c r="B1337" s="403">
        <f t="shared" si="10"/>
        <v>382279</v>
      </c>
      <c r="C1337" s="595">
        <v>382079</v>
      </c>
      <c r="D1337" s="596">
        <v>200</v>
      </c>
    </row>
    <row r="1338" spans="1:4" x14ac:dyDescent="0.2">
      <c r="A1338" s="416">
        <v>44238</v>
      </c>
      <c r="B1338" s="403">
        <f t="shared" si="10"/>
        <v>378310.6</v>
      </c>
      <c r="C1338" s="595">
        <v>378110.6</v>
      </c>
      <c r="D1338" s="596">
        <v>200</v>
      </c>
    </row>
    <row r="1339" spans="1:4" x14ac:dyDescent="0.2">
      <c r="A1339" s="416">
        <v>44239</v>
      </c>
      <c r="B1339" s="403">
        <f t="shared" si="10"/>
        <v>378369.91</v>
      </c>
      <c r="C1339" s="595">
        <v>378169.91</v>
      </c>
      <c r="D1339" s="596">
        <v>200</v>
      </c>
    </row>
    <row r="1340" spans="1:4" x14ac:dyDescent="0.2">
      <c r="A1340" s="416">
        <v>44242</v>
      </c>
      <c r="B1340" s="403">
        <f t="shared" si="10"/>
        <v>378370</v>
      </c>
      <c r="C1340" s="595">
        <v>378170</v>
      </c>
      <c r="D1340" s="596">
        <v>200</v>
      </c>
    </row>
    <row r="1341" spans="1:4" x14ac:dyDescent="0.2">
      <c r="A1341" s="416">
        <v>44243</v>
      </c>
      <c r="B1341" s="444">
        <f t="shared" si="10"/>
        <v>345442.81</v>
      </c>
      <c r="C1341" s="595">
        <v>345242.81</v>
      </c>
      <c r="D1341" s="596">
        <v>200</v>
      </c>
    </row>
    <row r="1342" spans="1:4" x14ac:dyDescent="0.2">
      <c r="A1342" s="416">
        <v>44244</v>
      </c>
      <c r="B1342" s="403">
        <f t="shared" si="10"/>
        <v>345443</v>
      </c>
      <c r="C1342" s="595">
        <v>345243</v>
      </c>
      <c r="D1342" s="596">
        <v>200</v>
      </c>
    </row>
    <row r="1343" spans="1:4" x14ac:dyDescent="0.2">
      <c r="A1343" s="416">
        <v>44245</v>
      </c>
      <c r="B1343" s="403">
        <f t="shared" si="10"/>
        <v>345443</v>
      </c>
      <c r="C1343" s="595">
        <v>345243</v>
      </c>
      <c r="D1343" s="596">
        <v>200</v>
      </c>
    </row>
    <row r="1344" spans="1:4" x14ac:dyDescent="0.2">
      <c r="A1344" s="416">
        <v>44246</v>
      </c>
      <c r="B1344" s="403">
        <f t="shared" si="10"/>
        <v>364859.97</v>
      </c>
      <c r="C1344" s="595">
        <v>364659.97</v>
      </c>
      <c r="D1344" s="596">
        <v>200</v>
      </c>
    </row>
    <row r="1345" spans="1:4" x14ac:dyDescent="0.2">
      <c r="A1345" s="416">
        <v>44249</v>
      </c>
      <c r="B1345" s="403">
        <f t="shared" si="10"/>
        <v>368452.97</v>
      </c>
      <c r="C1345" s="595">
        <v>368252.97</v>
      </c>
      <c r="D1345" s="596">
        <v>200</v>
      </c>
    </row>
    <row r="1346" spans="1:4" x14ac:dyDescent="0.2">
      <c r="A1346" s="416">
        <v>44250</v>
      </c>
      <c r="B1346" s="403">
        <f t="shared" si="10"/>
        <v>368407.65</v>
      </c>
      <c r="C1346" s="595">
        <v>368207.65</v>
      </c>
      <c r="D1346" s="596">
        <v>200</v>
      </c>
    </row>
    <row r="1347" spans="1:4" x14ac:dyDescent="0.2">
      <c r="A1347" s="416">
        <v>44251</v>
      </c>
      <c r="B1347" s="403">
        <f t="shared" si="10"/>
        <v>373249.01</v>
      </c>
      <c r="C1347" s="595">
        <v>373049.01</v>
      </c>
      <c r="D1347" s="596">
        <v>200</v>
      </c>
    </row>
    <row r="1348" spans="1:4" x14ac:dyDescent="0.2">
      <c r="A1348" s="416">
        <v>44252</v>
      </c>
      <c r="B1348" s="403">
        <f t="shared" si="10"/>
        <v>373249.01</v>
      </c>
      <c r="C1348" s="595">
        <v>373049.01</v>
      </c>
      <c r="D1348" s="596">
        <v>200</v>
      </c>
    </row>
    <row r="1349" spans="1:4" x14ac:dyDescent="0.2">
      <c r="A1349" s="416">
        <v>44253</v>
      </c>
      <c r="B1349" s="403">
        <f t="shared" si="10"/>
        <v>404359.4</v>
      </c>
      <c r="C1349" s="595">
        <v>404159.4</v>
      </c>
      <c r="D1349" s="596">
        <v>200</v>
      </c>
    </row>
    <row r="1350" spans="1:4" x14ac:dyDescent="0.2">
      <c r="A1350" s="416">
        <v>44256</v>
      </c>
      <c r="B1350" s="403">
        <f t="shared" si="10"/>
        <v>398860.85</v>
      </c>
      <c r="C1350" s="595">
        <v>398660.85</v>
      </c>
      <c r="D1350" s="596">
        <v>200</v>
      </c>
    </row>
    <row r="1351" spans="1:4" x14ac:dyDescent="0.2">
      <c r="A1351" s="416">
        <v>44257</v>
      </c>
      <c r="B1351" s="403">
        <f t="shared" si="10"/>
        <v>365079.52</v>
      </c>
      <c r="C1351" s="595">
        <v>364879.52</v>
      </c>
      <c r="D1351" s="596">
        <v>200</v>
      </c>
    </row>
    <row r="1352" spans="1:4" x14ac:dyDescent="0.2">
      <c r="A1352" s="416">
        <v>44258</v>
      </c>
      <c r="B1352" s="403">
        <f t="shared" si="10"/>
        <v>406124.9</v>
      </c>
      <c r="C1352" s="595">
        <v>405924.9</v>
      </c>
      <c r="D1352" s="596">
        <v>200</v>
      </c>
    </row>
    <row r="1353" spans="1:4" x14ac:dyDescent="0.2">
      <c r="A1353" s="416">
        <v>44259</v>
      </c>
      <c r="B1353" s="403">
        <f t="shared" si="10"/>
        <v>409953.76</v>
      </c>
      <c r="C1353" s="595">
        <v>409753.76</v>
      </c>
      <c r="D1353" s="596">
        <v>200</v>
      </c>
    </row>
    <row r="1354" spans="1:4" x14ac:dyDescent="0.2">
      <c r="A1354" s="416">
        <v>44260</v>
      </c>
      <c r="B1354" s="403">
        <f t="shared" si="10"/>
        <v>400983.29</v>
      </c>
      <c r="C1354" s="595">
        <v>400783.29</v>
      </c>
      <c r="D1354" s="596">
        <v>200</v>
      </c>
    </row>
    <row r="1355" spans="1:4" x14ac:dyDescent="0.2">
      <c r="A1355" s="416">
        <v>44263</v>
      </c>
      <c r="B1355" s="403">
        <f t="shared" si="10"/>
        <v>400983</v>
      </c>
      <c r="C1355" s="595">
        <v>400783</v>
      </c>
      <c r="D1355" s="596">
        <v>200</v>
      </c>
    </row>
    <row r="1356" spans="1:4" x14ac:dyDescent="0.2">
      <c r="A1356" s="416">
        <v>44264</v>
      </c>
      <c r="B1356" s="403">
        <f t="shared" si="10"/>
        <v>399908.16</v>
      </c>
      <c r="C1356" s="595">
        <v>399708.15999999997</v>
      </c>
      <c r="D1356" s="596">
        <v>200</v>
      </c>
    </row>
    <row r="1357" spans="1:4" x14ac:dyDescent="0.2">
      <c r="A1357" s="416">
        <v>44265</v>
      </c>
      <c r="B1357" s="403">
        <f t="shared" si="10"/>
        <v>399908</v>
      </c>
      <c r="C1357" s="595">
        <v>399708</v>
      </c>
      <c r="D1357" s="596">
        <v>200</v>
      </c>
    </row>
    <row r="1358" spans="1:4" x14ac:dyDescent="0.2">
      <c r="A1358" s="416">
        <v>44266</v>
      </c>
      <c r="B1358" s="403">
        <f t="shared" si="10"/>
        <v>399908</v>
      </c>
      <c r="C1358" s="595">
        <v>399708</v>
      </c>
      <c r="D1358" s="596">
        <v>200</v>
      </c>
    </row>
    <row r="1359" spans="1:4" x14ac:dyDescent="0.2">
      <c r="A1359" s="416">
        <v>44267</v>
      </c>
      <c r="B1359" s="403">
        <f t="shared" si="10"/>
        <v>399766.22</v>
      </c>
      <c r="C1359" s="595">
        <v>399566.22</v>
      </c>
      <c r="D1359" s="596">
        <v>200</v>
      </c>
    </row>
    <row r="1360" spans="1:4" x14ac:dyDescent="0.2">
      <c r="A1360" s="416">
        <v>44270</v>
      </c>
      <c r="B1360" s="403">
        <f t="shared" si="10"/>
        <v>366689.23</v>
      </c>
      <c r="C1360" s="595">
        <v>366489.23</v>
      </c>
      <c r="D1360" s="596">
        <v>200</v>
      </c>
    </row>
    <row r="1361" spans="1:4" x14ac:dyDescent="0.2">
      <c r="A1361" s="416">
        <v>44271</v>
      </c>
      <c r="B1361" s="403">
        <f t="shared" si="10"/>
        <v>392136.38</v>
      </c>
      <c r="C1361" s="595">
        <v>391936.38</v>
      </c>
      <c r="D1361" s="596">
        <v>200</v>
      </c>
    </row>
    <row r="1362" spans="1:4" x14ac:dyDescent="0.2">
      <c r="A1362" s="416">
        <v>44272</v>
      </c>
      <c r="B1362" s="403">
        <f t="shared" si="10"/>
        <v>414771.89</v>
      </c>
      <c r="C1362" s="595">
        <v>414571.89</v>
      </c>
      <c r="D1362" s="596">
        <v>200</v>
      </c>
    </row>
    <row r="1363" spans="1:4" x14ac:dyDescent="0.2">
      <c r="A1363" s="416">
        <v>44273</v>
      </c>
      <c r="B1363" s="403">
        <f t="shared" si="10"/>
        <v>442093.39</v>
      </c>
      <c r="C1363" s="595">
        <v>441893.39</v>
      </c>
      <c r="D1363" s="596">
        <v>200</v>
      </c>
    </row>
    <row r="1364" spans="1:4" x14ac:dyDescent="0.2">
      <c r="A1364" s="416">
        <v>44274</v>
      </c>
      <c r="B1364" s="403">
        <f t="shared" si="10"/>
        <v>439966.74</v>
      </c>
      <c r="C1364" s="595">
        <v>439766.74</v>
      </c>
      <c r="D1364" s="596">
        <v>200</v>
      </c>
    </row>
    <row r="1365" spans="1:4" x14ac:dyDescent="0.2">
      <c r="A1365" s="416">
        <v>44277</v>
      </c>
      <c r="B1365" s="403">
        <f t="shared" si="10"/>
        <v>439966.74</v>
      </c>
      <c r="C1365" s="595">
        <v>439766.74</v>
      </c>
      <c r="D1365" s="596">
        <v>200</v>
      </c>
    </row>
    <row r="1366" spans="1:4" x14ac:dyDescent="0.2">
      <c r="A1366" s="416">
        <v>44278</v>
      </c>
      <c r="B1366" s="403">
        <f t="shared" si="10"/>
        <v>439966.74</v>
      </c>
      <c r="C1366" s="595">
        <v>439766.74</v>
      </c>
      <c r="D1366" s="596">
        <v>200</v>
      </c>
    </row>
    <row r="1367" spans="1:4" x14ac:dyDescent="0.2">
      <c r="A1367" s="416">
        <v>44279</v>
      </c>
      <c r="B1367" s="403">
        <f t="shared" si="10"/>
        <v>440251.74</v>
      </c>
      <c r="C1367" s="595">
        <v>440051.74</v>
      </c>
      <c r="D1367" s="596">
        <v>200</v>
      </c>
    </row>
    <row r="1368" spans="1:4" x14ac:dyDescent="0.2">
      <c r="A1368" s="416">
        <v>44280</v>
      </c>
      <c r="B1368" s="403">
        <f t="shared" si="10"/>
        <v>440252</v>
      </c>
      <c r="C1368" s="595">
        <v>440052</v>
      </c>
      <c r="D1368" s="596">
        <v>200</v>
      </c>
    </row>
    <row r="1369" spans="1:4" x14ac:dyDescent="0.2">
      <c r="A1369" s="416">
        <v>44281</v>
      </c>
      <c r="B1369" s="403">
        <f t="shared" si="10"/>
        <v>424641.64</v>
      </c>
      <c r="C1369" s="595">
        <v>424441.64</v>
      </c>
      <c r="D1369" s="596">
        <v>200</v>
      </c>
    </row>
    <row r="1370" spans="1:4" x14ac:dyDescent="0.2">
      <c r="A1370" s="416">
        <v>44284</v>
      </c>
      <c r="B1370" s="403">
        <f t="shared" si="10"/>
        <v>527059.86</v>
      </c>
      <c r="C1370" s="595">
        <v>526859.86</v>
      </c>
      <c r="D1370" s="596">
        <v>200</v>
      </c>
    </row>
    <row r="1371" spans="1:4" x14ac:dyDescent="0.2">
      <c r="A1371" s="416">
        <v>44285</v>
      </c>
      <c r="B1371" s="403">
        <f t="shared" si="10"/>
        <v>552226.89</v>
      </c>
      <c r="C1371" s="595">
        <v>552026.89</v>
      </c>
      <c r="D1371" s="596">
        <v>200</v>
      </c>
    </row>
    <row r="1372" spans="1:4" x14ac:dyDescent="0.2">
      <c r="A1372" s="416">
        <v>44286</v>
      </c>
      <c r="B1372" s="403">
        <f t="shared" si="10"/>
        <v>552439.89</v>
      </c>
      <c r="C1372" s="595">
        <v>552239.89</v>
      </c>
      <c r="D1372" s="596">
        <v>200</v>
      </c>
    </row>
    <row r="1373" spans="1:4" x14ac:dyDescent="0.2">
      <c r="A1373" s="416">
        <v>44287</v>
      </c>
      <c r="B1373" s="403">
        <f t="shared" si="10"/>
        <v>552439.89</v>
      </c>
      <c r="C1373" s="595">
        <v>552239.89</v>
      </c>
      <c r="D1373" s="596">
        <v>200</v>
      </c>
    </row>
    <row r="1374" spans="1:4" x14ac:dyDescent="0.2">
      <c r="A1374" s="416">
        <v>44288</v>
      </c>
      <c r="B1374" s="403">
        <f t="shared" si="10"/>
        <v>552129.82999999996</v>
      </c>
      <c r="C1374" s="595">
        <v>551929.82999999996</v>
      </c>
      <c r="D1374" s="596">
        <v>200</v>
      </c>
    </row>
    <row r="1375" spans="1:4" x14ac:dyDescent="0.2">
      <c r="A1375" s="416">
        <v>44291</v>
      </c>
      <c r="B1375" s="403">
        <f t="shared" si="10"/>
        <v>552130</v>
      </c>
      <c r="C1375" s="595">
        <v>551930</v>
      </c>
      <c r="D1375" s="596">
        <v>200</v>
      </c>
    </row>
    <row r="1376" spans="1:4" x14ac:dyDescent="0.2">
      <c r="A1376" s="416">
        <v>44292</v>
      </c>
      <c r="B1376" s="403">
        <f t="shared" si="10"/>
        <v>552377.82999999996</v>
      </c>
      <c r="C1376" s="595">
        <v>552177.82999999996</v>
      </c>
      <c r="D1376" s="596">
        <v>200</v>
      </c>
    </row>
    <row r="1377" spans="1:4" x14ac:dyDescent="0.2">
      <c r="A1377" s="416">
        <v>44293</v>
      </c>
      <c r="B1377" s="403">
        <f t="shared" si="10"/>
        <v>552378</v>
      </c>
      <c r="C1377" s="595">
        <v>552178</v>
      </c>
      <c r="D1377" s="596">
        <v>200</v>
      </c>
    </row>
    <row r="1378" spans="1:4" x14ac:dyDescent="0.2">
      <c r="A1378" s="416">
        <v>44294</v>
      </c>
      <c r="B1378" s="444">
        <f t="shared" si="10"/>
        <v>553005.37</v>
      </c>
      <c r="C1378" s="595">
        <v>552805.37</v>
      </c>
      <c r="D1378" s="596">
        <v>200</v>
      </c>
    </row>
    <row r="1379" spans="1:4" x14ac:dyDescent="0.2">
      <c r="A1379" s="416">
        <v>44295</v>
      </c>
      <c r="B1379" s="403">
        <f t="shared" si="10"/>
        <v>553005</v>
      </c>
      <c r="C1379" s="595">
        <v>552805</v>
      </c>
      <c r="D1379" s="596">
        <v>200</v>
      </c>
    </row>
    <row r="1380" spans="1:4" x14ac:dyDescent="0.2">
      <c r="A1380" s="416">
        <v>44298</v>
      </c>
      <c r="B1380" s="403">
        <f t="shared" si="10"/>
        <v>536104.62</v>
      </c>
      <c r="C1380" s="595">
        <v>535904.62</v>
      </c>
      <c r="D1380" s="596">
        <v>200</v>
      </c>
    </row>
    <row r="1381" spans="1:4" x14ac:dyDescent="0.2">
      <c r="A1381" s="416">
        <v>44299</v>
      </c>
      <c r="B1381" s="403">
        <f t="shared" si="10"/>
        <v>503475.62</v>
      </c>
      <c r="C1381" s="595">
        <v>503275.62</v>
      </c>
      <c r="D1381" s="596">
        <v>200</v>
      </c>
    </row>
    <row r="1382" spans="1:4" x14ac:dyDescent="0.2">
      <c r="A1382" s="416">
        <v>44300</v>
      </c>
      <c r="B1382" s="403">
        <f t="shared" si="10"/>
        <v>515272.72</v>
      </c>
      <c r="C1382" s="595">
        <v>515072.72</v>
      </c>
      <c r="D1382" s="596">
        <v>200</v>
      </c>
    </row>
    <row r="1383" spans="1:4" x14ac:dyDescent="0.2">
      <c r="A1383" s="416">
        <v>44301</v>
      </c>
      <c r="B1383" s="403">
        <f t="shared" si="10"/>
        <v>519939.48</v>
      </c>
      <c r="C1383" s="595">
        <v>519739.48</v>
      </c>
      <c r="D1383" s="596">
        <v>200</v>
      </c>
    </row>
    <row r="1384" spans="1:4" x14ac:dyDescent="0.2">
      <c r="A1384" s="416">
        <v>44302</v>
      </c>
      <c r="B1384" s="403">
        <f t="shared" si="10"/>
        <v>518569.61</v>
      </c>
      <c r="C1384" s="595">
        <v>518369.61</v>
      </c>
      <c r="D1384" s="596">
        <v>200</v>
      </c>
    </row>
    <row r="1385" spans="1:4" x14ac:dyDescent="0.2">
      <c r="A1385" s="416">
        <v>44305</v>
      </c>
      <c r="B1385" s="403">
        <f t="shared" si="10"/>
        <v>518755.61</v>
      </c>
      <c r="C1385" s="595">
        <v>518555.61</v>
      </c>
      <c r="D1385" s="596">
        <v>200</v>
      </c>
    </row>
    <row r="1386" spans="1:4" x14ac:dyDescent="0.2">
      <c r="A1386" s="416">
        <v>44306</v>
      </c>
      <c r="B1386" s="403">
        <f t="shared" si="10"/>
        <v>518755.61</v>
      </c>
      <c r="C1386" s="595">
        <v>518555.61</v>
      </c>
      <c r="D1386" s="596">
        <v>200</v>
      </c>
    </row>
    <row r="1387" spans="1:4" x14ac:dyDescent="0.2">
      <c r="A1387" s="416">
        <v>44307</v>
      </c>
      <c r="B1387" s="403">
        <f t="shared" si="10"/>
        <v>518755.61</v>
      </c>
      <c r="C1387" s="595">
        <v>518555.61</v>
      </c>
      <c r="D1387" s="596">
        <v>200</v>
      </c>
    </row>
    <row r="1388" spans="1:4" x14ac:dyDescent="0.2">
      <c r="A1388" s="416">
        <v>44308</v>
      </c>
      <c r="B1388" s="403">
        <f t="shared" si="10"/>
        <v>507528.36</v>
      </c>
      <c r="C1388" s="595">
        <v>507328.36</v>
      </c>
      <c r="D1388" s="596">
        <v>200</v>
      </c>
    </row>
    <row r="1389" spans="1:4" x14ac:dyDescent="0.2">
      <c r="A1389" s="416">
        <v>44309</v>
      </c>
      <c r="B1389" s="403">
        <f t="shared" si="10"/>
        <v>506769.51</v>
      </c>
      <c r="C1389" s="595">
        <v>506569.51</v>
      </c>
      <c r="D1389" s="596">
        <v>200</v>
      </c>
    </row>
    <row r="1390" spans="1:4" x14ac:dyDescent="0.2">
      <c r="A1390" s="416">
        <v>44312</v>
      </c>
      <c r="B1390" s="403">
        <f t="shared" si="10"/>
        <v>506770</v>
      </c>
      <c r="C1390" s="595">
        <v>506570</v>
      </c>
      <c r="D1390" s="596">
        <v>200</v>
      </c>
    </row>
    <row r="1391" spans="1:4" x14ac:dyDescent="0.2">
      <c r="A1391" s="416">
        <v>44313</v>
      </c>
      <c r="B1391" s="403">
        <f t="shared" ref="B1391:B1454" si="11">C1391+D1391</f>
        <v>473061.43</v>
      </c>
      <c r="C1391" s="595">
        <v>472861.43</v>
      </c>
      <c r="D1391" s="596">
        <v>200</v>
      </c>
    </row>
    <row r="1392" spans="1:4" x14ac:dyDescent="0.2">
      <c r="A1392" s="416">
        <v>44314</v>
      </c>
      <c r="B1392" s="403">
        <f t="shared" si="11"/>
        <v>479261.62</v>
      </c>
      <c r="C1392" s="595">
        <v>479061.62</v>
      </c>
      <c r="D1392" s="596">
        <v>200</v>
      </c>
    </row>
    <row r="1393" spans="1:4" x14ac:dyDescent="0.2">
      <c r="A1393" s="416">
        <v>44315</v>
      </c>
      <c r="B1393" s="403">
        <f t="shared" si="11"/>
        <v>478222.46</v>
      </c>
      <c r="C1393" s="595">
        <v>478022.46</v>
      </c>
      <c r="D1393" s="596">
        <v>200</v>
      </c>
    </row>
    <row r="1394" spans="1:4" x14ac:dyDescent="0.2">
      <c r="A1394" s="416">
        <v>44316</v>
      </c>
      <c r="B1394" s="403">
        <f t="shared" si="11"/>
        <v>477922.01</v>
      </c>
      <c r="C1394" s="595">
        <v>477722.01</v>
      </c>
      <c r="D1394" s="596">
        <v>200</v>
      </c>
    </row>
    <row r="1395" spans="1:4" x14ac:dyDescent="0.2">
      <c r="A1395" s="416">
        <v>44319</v>
      </c>
      <c r="B1395" s="403">
        <f t="shared" si="11"/>
        <v>477922.01</v>
      </c>
      <c r="C1395" s="595">
        <v>477722.01</v>
      </c>
      <c r="D1395" s="596">
        <v>200</v>
      </c>
    </row>
    <row r="1396" spans="1:4" x14ac:dyDescent="0.2">
      <c r="A1396" s="416">
        <v>44320</v>
      </c>
      <c r="B1396" s="403">
        <f t="shared" si="11"/>
        <v>477922.01</v>
      </c>
      <c r="C1396" s="595">
        <v>477722.01</v>
      </c>
      <c r="D1396" s="596">
        <v>200</v>
      </c>
    </row>
    <row r="1397" spans="1:4" x14ac:dyDescent="0.2">
      <c r="A1397" s="416">
        <v>44321</v>
      </c>
      <c r="B1397" s="403">
        <f t="shared" si="11"/>
        <v>477922.01</v>
      </c>
      <c r="C1397" s="595">
        <v>477722.01</v>
      </c>
      <c r="D1397" s="596">
        <v>200</v>
      </c>
    </row>
    <row r="1398" spans="1:4" x14ac:dyDescent="0.2">
      <c r="A1398" s="416">
        <v>44322</v>
      </c>
      <c r="B1398" s="403">
        <f t="shared" si="11"/>
        <v>477922.01</v>
      </c>
      <c r="C1398" s="595">
        <v>477722.01</v>
      </c>
      <c r="D1398" s="596">
        <v>200</v>
      </c>
    </row>
    <row r="1399" spans="1:4" x14ac:dyDescent="0.2">
      <c r="A1399" s="416">
        <v>44323</v>
      </c>
      <c r="B1399" s="403">
        <f t="shared" si="11"/>
        <v>463576.89</v>
      </c>
      <c r="C1399" s="595">
        <v>463376.89</v>
      </c>
      <c r="D1399" s="596">
        <v>200</v>
      </c>
    </row>
    <row r="1400" spans="1:4" x14ac:dyDescent="0.2">
      <c r="A1400" s="416">
        <v>44326</v>
      </c>
      <c r="B1400" s="403">
        <f t="shared" si="11"/>
        <v>473954.09</v>
      </c>
      <c r="C1400" s="595">
        <v>473754.09</v>
      </c>
      <c r="D1400" s="596">
        <v>200</v>
      </c>
    </row>
    <row r="1401" spans="1:4" x14ac:dyDescent="0.2">
      <c r="A1401" s="416">
        <v>44327</v>
      </c>
      <c r="B1401" s="403">
        <f t="shared" si="11"/>
        <v>520561.7</v>
      </c>
      <c r="C1401" s="595">
        <v>520361.7</v>
      </c>
      <c r="D1401" s="596">
        <v>200</v>
      </c>
    </row>
    <row r="1402" spans="1:4" x14ac:dyDescent="0.2">
      <c r="A1402" s="416">
        <v>44328</v>
      </c>
      <c r="B1402" s="403">
        <f t="shared" si="11"/>
        <v>520562</v>
      </c>
      <c r="C1402" s="595">
        <v>520362</v>
      </c>
      <c r="D1402" s="596">
        <v>200</v>
      </c>
    </row>
    <row r="1403" spans="1:4" x14ac:dyDescent="0.2">
      <c r="A1403" s="416">
        <v>44329</v>
      </c>
      <c r="B1403" s="403">
        <f t="shared" si="11"/>
        <v>525995.02</v>
      </c>
      <c r="C1403" s="595">
        <v>525795.02</v>
      </c>
      <c r="D1403" s="596">
        <v>200</v>
      </c>
    </row>
    <row r="1404" spans="1:4" x14ac:dyDescent="0.2">
      <c r="A1404" s="416">
        <v>44330</v>
      </c>
      <c r="B1404" s="403">
        <f t="shared" si="11"/>
        <v>521947.98</v>
      </c>
      <c r="C1404" s="595">
        <v>521747.98</v>
      </c>
      <c r="D1404" s="596">
        <v>200</v>
      </c>
    </row>
    <row r="1405" spans="1:4" x14ac:dyDescent="0.2">
      <c r="A1405" s="416">
        <v>44333</v>
      </c>
      <c r="B1405" s="403">
        <f t="shared" si="11"/>
        <v>521948</v>
      </c>
      <c r="C1405" s="595">
        <v>521748</v>
      </c>
      <c r="D1405" s="596">
        <v>200</v>
      </c>
    </row>
    <row r="1406" spans="1:4" x14ac:dyDescent="0.2">
      <c r="A1406" s="416">
        <v>44334</v>
      </c>
      <c r="B1406" s="403">
        <f t="shared" si="11"/>
        <v>521948</v>
      </c>
      <c r="C1406" s="595">
        <v>521748</v>
      </c>
      <c r="D1406" s="596">
        <v>200</v>
      </c>
    </row>
    <row r="1407" spans="1:4" x14ac:dyDescent="0.2">
      <c r="A1407" s="416">
        <v>44335</v>
      </c>
      <c r="B1407" s="403">
        <f t="shared" si="11"/>
        <v>522186.98</v>
      </c>
      <c r="C1407" s="595">
        <v>521986.98</v>
      </c>
      <c r="D1407" s="596">
        <v>200</v>
      </c>
    </row>
    <row r="1408" spans="1:4" x14ac:dyDescent="0.2">
      <c r="A1408" s="416">
        <v>44336</v>
      </c>
      <c r="B1408" s="403">
        <f t="shared" si="11"/>
        <v>518466.54</v>
      </c>
      <c r="C1408" s="595">
        <v>518266.54</v>
      </c>
      <c r="D1408" s="596">
        <v>200</v>
      </c>
    </row>
    <row r="1409" spans="1:4" x14ac:dyDescent="0.2">
      <c r="A1409" s="416">
        <v>44337</v>
      </c>
      <c r="B1409" s="403">
        <f t="shared" si="11"/>
        <v>518467</v>
      </c>
      <c r="C1409" s="595">
        <v>518267</v>
      </c>
      <c r="D1409" s="596">
        <v>200</v>
      </c>
    </row>
    <row r="1410" spans="1:4" x14ac:dyDescent="0.2">
      <c r="A1410" s="416">
        <v>44340</v>
      </c>
      <c r="B1410" s="403">
        <f t="shared" si="11"/>
        <v>486541.35</v>
      </c>
      <c r="C1410" s="595">
        <v>486341.35</v>
      </c>
      <c r="D1410" s="596">
        <v>200</v>
      </c>
    </row>
    <row r="1411" spans="1:4" x14ac:dyDescent="0.2">
      <c r="A1411" s="416">
        <v>44341</v>
      </c>
      <c r="B1411" s="403">
        <f t="shared" si="11"/>
        <v>486541</v>
      </c>
      <c r="C1411" s="595">
        <v>486341</v>
      </c>
      <c r="D1411" s="596">
        <v>200</v>
      </c>
    </row>
    <row r="1412" spans="1:4" x14ac:dyDescent="0.2">
      <c r="A1412" s="416">
        <v>44342</v>
      </c>
      <c r="B1412" s="403">
        <f t="shared" si="11"/>
        <v>512462.15</v>
      </c>
      <c r="C1412" s="595">
        <v>512262.15</v>
      </c>
      <c r="D1412" s="596">
        <v>200</v>
      </c>
    </row>
    <row r="1413" spans="1:4" x14ac:dyDescent="0.2">
      <c r="A1413" s="416">
        <v>44343</v>
      </c>
      <c r="B1413" s="403">
        <f t="shared" si="11"/>
        <v>512462</v>
      </c>
      <c r="C1413" s="595">
        <v>512262</v>
      </c>
      <c r="D1413" s="596">
        <v>200</v>
      </c>
    </row>
    <row r="1414" spans="1:4" x14ac:dyDescent="0.2">
      <c r="A1414" s="416">
        <v>44344</v>
      </c>
      <c r="B1414" s="403">
        <f t="shared" si="11"/>
        <v>513609.04</v>
      </c>
      <c r="C1414" s="595">
        <v>513409.04</v>
      </c>
      <c r="D1414" s="596">
        <v>200</v>
      </c>
    </row>
    <row r="1415" spans="1:4" x14ac:dyDescent="0.2">
      <c r="A1415" s="416">
        <v>44347</v>
      </c>
      <c r="B1415" s="403">
        <f t="shared" si="11"/>
        <v>513609</v>
      </c>
      <c r="C1415" s="595">
        <v>513409</v>
      </c>
      <c r="D1415" s="596">
        <v>200</v>
      </c>
    </row>
    <row r="1416" spans="1:4" x14ac:dyDescent="0.2">
      <c r="A1416" s="416">
        <v>44348</v>
      </c>
      <c r="B1416" s="403">
        <f t="shared" si="11"/>
        <v>513579.05</v>
      </c>
      <c r="C1416" s="595">
        <v>513379.05</v>
      </c>
      <c r="D1416" s="596">
        <v>200</v>
      </c>
    </row>
    <row r="1417" spans="1:4" x14ac:dyDescent="0.2">
      <c r="A1417" s="416">
        <v>44349</v>
      </c>
      <c r="B1417" s="403">
        <f t="shared" si="11"/>
        <v>514399.44</v>
      </c>
      <c r="C1417" s="595">
        <v>514199.44</v>
      </c>
      <c r="D1417" s="596">
        <v>200</v>
      </c>
    </row>
    <row r="1418" spans="1:4" x14ac:dyDescent="0.2">
      <c r="A1418" s="416">
        <v>44350</v>
      </c>
      <c r="B1418" s="403">
        <f t="shared" si="11"/>
        <v>501741.57</v>
      </c>
      <c r="C1418" s="595">
        <v>501541.57</v>
      </c>
      <c r="D1418" s="596">
        <v>200</v>
      </c>
    </row>
    <row r="1419" spans="1:4" x14ac:dyDescent="0.2">
      <c r="A1419" s="416">
        <v>44351</v>
      </c>
      <c r="B1419" s="403">
        <f t="shared" si="11"/>
        <v>501742</v>
      </c>
      <c r="C1419" s="595">
        <v>501542</v>
      </c>
      <c r="D1419" s="596">
        <v>200</v>
      </c>
    </row>
    <row r="1420" spans="1:4" x14ac:dyDescent="0.2">
      <c r="A1420" s="416">
        <v>44354</v>
      </c>
      <c r="B1420" s="403">
        <f t="shared" si="11"/>
        <v>502500.51</v>
      </c>
      <c r="C1420" s="595">
        <v>502300.51</v>
      </c>
      <c r="D1420" s="596">
        <v>200</v>
      </c>
    </row>
    <row r="1421" spans="1:4" x14ac:dyDescent="0.2">
      <c r="A1421" s="416">
        <v>44355</v>
      </c>
      <c r="B1421" s="403">
        <f t="shared" si="11"/>
        <v>502953.51</v>
      </c>
      <c r="C1421" s="595">
        <v>502753.51</v>
      </c>
      <c r="D1421" s="596">
        <v>200</v>
      </c>
    </row>
    <row r="1422" spans="1:4" x14ac:dyDescent="0.2">
      <c r="A1422" s="416">
        <v>44356</v>
      </c>
      <c r="B1422" s="403">
        <f t="shared" si="11"/>
        <v>502954</v>
      </c>
      <c r="C1422" s="595">
        <v>502754</v>
      </c>
      <c r="D1422" s="596">
        <v>200</v>
      </c>
    </row>
    <row r="1423" spans="1:4" x14ac:dyDescent="0.2">
      <c r="A1423" s="416">
        <v>44357</v>
      </c>
      <c r="B1423" s="403">
        <f t="shared" si="11"/>
        <v>483592.4</v>
      </c>
      <c r="C1423" s="595">
        <v>483392.4</v>
      </c>
      <c r="D1423" s="596">
        <v>200</v>
      </c>
    </row>
    <row r="1424" spans="1:4" x14ac:dyDescent="0.2">
      <c r="A1424" s="416">
        <v>44358</v>
      </c>
      <c r="B1424" s="403">
        <f t="shared" si="11"/>
        <v>483291.95</v>
      </c>
      <c r="C1424" s="595">
        <v>483091.95</v>
      </c>
      <c r="D1424" s="596">
        <v>200</v>
      </c>
    </row>
    <row r="1425" spans="1:4" x14ac:dyDescent="0.2">
      <c r="A1425" s="416">
        <v>44361</v>
      </c>
      <c r="B1425" s="403">
        <f t="shared" si="11"/>
        <v>495768.59</v>
      </c>
      <c r="C1425" s="595">
        <v>495568.59</v>
      </c>
      <c r="D1425" s="596">
        <v>200</v>
      </c>
    </row>
    <row r="1426" spans="1:4" x14ac:dyDescent="0.2">
      <c r="A1426" s="416">
        <v>44362</v>
      </c>
      <c r="B1426" s="403">
        <f t="shared" si="11"/>
        <v>495822.72</v>
      </c>
      <c r="C1426" s="595">
        <v>495622.72</v>
      </c>
      <c r="D1426" s="596">
        <v>200</v>
      </c>
    </row>
    <row r="1427" spans="1:4" x14ac:dyDescent="0.2">
      <c r="A1427" s="416">
        <v>44363</v>
      </c>
      <c r="B1427" s="403">
        <f t="shared" si="11"/>
        <v>520028.1</v>
      </c>
      <c r="C1427" s="595">
        <v>519828.1</v>
      </c>
      <c r="D1427" s="596">
        <v>200</v>
      </c>
    </row>
    <row r="1428" spans="1:4" x14ac:dyDescent="0.2">
      <c r="A1428" s="416">
        <v>44364</v>
      </c>
      <c r="B1428" s="403">
        <f t="shared" si="11"/>
        <v>517161.8</v>
      </c>
      <c r="C1428" s="595">
        <v>516961.8</v>
      </c>
      <c r="D1428" s="596">
        <v>200</v>
      </c>
    </row>
    <row r="1429" spans="1:4" x14ac:dyDescent="0.2">
      <c r="A1429" s="416">
        <v>44365</v>
      </c>
      <c r="B1429" s="403">
        <f t="shared" si="11"/>
        <v>518094.91</v>
      </c>
      <c r="C1429" s="595">
        <v>517894.91</v>
      </c>
      <c r="D1429" s="596">
        <v>200</v>
      </c>
    </row>
    <row r="1430" spans="1:4" x14ac:dyDescent="0.2">
      <c r="A1430" s="416">
        <v>44368</v>
      </c>
      <c r="B1430" s="403">
        <f t="shared" si="11"/>
        <v>484042.38</v>
      </c>
      <c r="C1430" s="595">
        <v>483842.38</v>
      </c>
      <c r="D1430" s="596">
        <v>200</v>
      </c>
    </row>
    <row r="1431" spans="1:4" x14ac:dyDescent="0.2">
      <c r="A1431" s="416">
        <v>44369</v>
      </c>
      <c r="B1431" s="403">
        <f t="shared" si="11"/>
        <v>497746.99</v>
      </c>
      <c r="C1431" s="595">
        <v>497546.99</v>
      </c>
      <c r="D1431" s="596">
        <v>200</v>
      </c>
    </row>
    <row r="1432" spans="1:4" x14ac:dyDescent="0.2">
      <c r="A1432" s="416">
        <v>44370</v>
      </c>
      <c r="B1432" s="403">
        <f t="shared" si="11"/>
        <v>497747</v>
      </c>
      <c r="C1432" s="595">
        <v>497547</v>
      </c>
      <c r="D1432" s="596">
        <v>200</v>
      </c>
    </row>
    <row r="1433" spans="1:4" x14ac:dyDescent="0.2">
      <c r="A1433" s="416">
        <v>44371</v>
      </c>
      <c r="B1433" s="403">
        <f t="shared" si="11"/>
        <v>495381.8</v>
      </c>
      <c r="C1433" s="595">
        <v>495181.8</v>
      </c>
      <c r="D1433" s="596">
        <v>200</v>
      </c>
    </row>
    <row r="1434" spans="1:4" x14ac:dyDescent="0.2">
      <c r="A1434" s="416">
        <v>44372</v>
      </c>
      <c r="B1434" s="403">
        <f t="shared" si="11"/>
        <v>495081.35</v>
      </c>
      <c r="C1434" s="595">
        <v>494881.35</v>
      </c>
      <c r="D1434" s="596">
        <v>200</v>
      </c>
    </row>
    <row r="1435" spans="1:4" x14ac:dyDescent="0.2">
      <c r="A1435" s="416">
        <v>44375</v>
      </c>
      <c r="B1435" s="403">
        <f t="shared" si="11"/>
        <v>495055.65</v>
      </c>
      <c r="C1435" s="595">
        <v>494855.65</v>
      </c>
      <c r="D1435" s="596">
        <v>200</v>
      </c>
    </row>
    <row r="1436" spans="1:4" x14ac:dyDescent="0.2">
      <c r="A1436" s="416">
        <v>44376</v>
      </c>
      <c r="B1436" s="403">
        <f t="shared" si="11"/>
        <v>495056</v>
      </c>
      <c r="C1436" s="595">
        <v>494856</v>
      </c>
      <c r="D1436" s="596">
        <v>200</v>
      </c>
    </row>
    <row r="1437" spans="1:4" x14ac:dyDescent="0.2">
      <c r="A1437" s="416">
        <v>44377</v>
      </c>
      <c r="B1437" s="403">
        <f t="shared" si="11"/>
        <v>497588.94</v>
      </c>
      <c r="C1437" s="595">
        <v>497388.94</v>
      </c>
      <c r="D1437" s="596">
        <v>200</v>
      </c>
    </row>
    <row r="1438" spans="1:4" x14ac:dyDescent="0.2">
      <c r="A1438" s="416">
        <v>44378</v>
      </c>
      <c r="B1438" s="403">
        <f t="shared" si="11"/>
        <v>488300.76</v>
      </c>
      <c r="C1438" s="595">
        <v>488100.76</v>
      </c>
      <c r="D1438" s="596">
        <v>200</v>
      </c>
    </row>
    <row r="1439" spans="1:4" x14ac:dyDescent="0.2">
      <c r="A1439" s="416">
        <v>44379</v>
      </c>
      <c r="B1439" s="403">
        <f t="shared" si="11"/>
        <v>488301</v>
      </c>
      <c r="C1439" s="595">
        <v>488101</v>
      </c>
      <c r="D1439" s="596">
        <v>200</v>
      </c>
    </row>
    <row r="1440" spans="1:4" x14ac:dyDescent="0.2">
      <c r="A1440" s="416">
        <v>44382</v>
      </c>
      <c r="B1440" s="403">
        <f t="shared" si="11"/>
        <v>488301</v>
      </c>
      <c r="C1440" s="595">
        <v>488101</v>
      </c>
      <c r="D1440" s="596">
        <v>200</v>
      </c>
    </row>
    <row r="1441" spans="1:4" x14ac:dyDescent="0.2">
      <c r="A1441" s="416">
        <v>44383</v>
      </c>
      <c r="B1441" s="403">
        <f t="shared" si="11"/>
        <v>453460.75</v>
      </c>
      <c r="C1441" s="595">
        <v>453260.75</v>
      </c>
      <c r="D1441" s="596">
        <v>200</v>
      </c>
    </row>
    <row r="1442" spans="1:4" x14ac:dyDescent="0.2">
      <c r="A1442" s="416">
        <v>44384</v>
      </c>
      <c r="B1442" s="403">
        <f t="shared" si="11"/>
        <v>453461</v>
      </c>
      <c r="C1442" s="595">
        <v>453261</v>
      </c>
      <c r="D1442" s="596">
        <v>200</v>
      </c>
    </row>
    <row r="1443" spans="1:4" x14ac:dyDescent="0.2">
      <c r="A1443" s="416">
        <v>44385</v>
      </c>
      <c r="B1443" s="403">
        <f t="shared" si="11"/>
        <v>453914.75</v>
      </c>
      <c r="C1443" s="595">
        <v>453714.75</v>
      </c>
      <c r="D1443" s="596">
        <v>200</v>
      </c>
    </row>
    <row r="1444" spans="1:4" x14ac:dyDescent="0.2">
      <c r="A1444" s="416">
        <v>44386</v>
      </c>
      <c r="B1444" s="403">
        <f t="shared" si="11"/>
        <v>451808.36</v>
      </c>
      <c r="C1444" s="595">
        <v>451608.36</v>
      </c>
      <c r="D1444" s="596">
        <v>200</v>
      </c>
    </row>
    <row r="1445" spans="1:4" x14ac:dyDescent="0.2">
      <c r="A1445" s="416">
        <v>44389</v>
      </c>
      <c r="B1445" s="403">
        <f t="shared" si="11"/>
        <v>451808</v>
      </c>
      <c r="C1445" s="595">
        <v>451608</v>
      </c>
      <c r="D1445" s="596">
        <v>200</v>
      </c>
    </row>
    <row r="1446" spans="1:4" x14ac:dyDescent="0.2">
      <c r="A1446" s="416">
        <v>44390</v>
      </c>
      <c r="B1446" s="403">
        <f t="shared" si="11"/>
        <v>452941.65</v>
      </c>
      <c r="C1446" s="595">
        <v>452741.65</v>
      </c>
      <c r="D1446" s="596">
        <v>200</v>
      </c>
    </row>
    <row r="1447" spans="1:4" x14ac:dyDescent="0.2">
      <c r="A1447" s="416">
        <v>44391</v>
      </c>
      <c r="B1447" s="403">
        <f t="shared" si="11"/>
        <v>453131.97</v>
      </c>
      <c r="C1447" s="595">
        <v>452931.97</v>
      </c>
      <c r="D1447" s="596">
        <v>200</v>
      </c>
    </row>
    <row r="1448" spans="1:4" x14ac:dyDescent="0.2">
      <c r="A1448" s="416">
        <v>44392</v>
      </c>
      <c r="B1448" s="403">
        <f t="shared" si="11"/>
        <v>453180.49</v>
      </c>
      <c r="C1448" s="595">
        <v>452980.49</v>
      </c>
      <c r="D1448" s="596">
        <v>200</v>
      </c>
    </row>
    <row r="1449" spans="1:4" x14ac:dyDescent="0.2">
      <c r="A1449" s="416">
        <v>44393</v>
      </c>
      <c r="B1449" s="403">
        <f t="shared" si="11"/>
        <v>453180</v>
      </c>
      <c r="C1449" s="595">
        <v>452980</v>
      </c>
      <c r="D1449" s="596">
        <v>200</v>
      </c>
    </row>
    <row r="1450" spans="1:4" x14ac:dyDescent="0.2">
      <c r="A1450" s="416">
        <v>44396</v>
      </c>
      <c r="B1450" s="403">
        <f t="shared" si="11"/>
        <v>436299.85</v>
      </c>
      <c r="C1450" s="595">
        <v>436099.85</v>
      </c>
      <c r="D1450" s="596">
        <v>200</v>
      </c>
    </row>
    <row r="1451" spans="1:4" x14ac:dyDescent="0.2">
      <c r="A1451" s="416">
        <v>44397</v>
      </c>
      <c r="B1451" s="403">
        <f t="shared" si="11"/>
        <v>400936.9</v>
      </c>
      <c r="C1451" s="595">
        <v>400736.9</v>
      </c>
      <c r="D1451" s="596">
        <v>200</v>
      </c>
    </row>
    <row r="1452" spans="1:4" x14ac:dyDescent="0.2">
      <c r="A1452" s="416">
        <v>44398</v>
      </c>
      <c r="B1452" s="403">
        <f t="shared" si="11"/>
        <v>400937</v>
      </c>
      <c r="C1452" s="595">
        <v>400737</v>
      </c>
      <c r="D1452" s="596">
        <v>200</v>
      </c>
    </row>
    <row r="1453" spans="1:4" x14ac:dyDescent="0.2">
      <c r="A1453" s="416">
        <v>44399</v>
      </c>
      <c r="B1453" s="403">
        <f t="shared" si="11"/>
        <v>298716.2</v>
      </c>
      <c r="C1453" s="595">
        <v>298516.2</v>
      </c>
      <c r="D1453" s="596">
        <v>200</v>
      </c>
    </row>
    <row r="1454" spans="1:4" x14ac:dyDescent="0.2">
      <c r="A1454" s="416">
        <v>44400</v>
      </c>
      <c r="B1454" s="403">
        <f t="shared" si="11"/>
        <v>298557.34999999998</v>
      </c>
      <c r="C1454" s="595">
        <v>298357.34999999998</v>
      </c>
      <c r="D1454" s="596">
        <v>200</v>
      </c>
    </row>
    <row r="1455" spans="1:4" x14ac:dyDescent="0.2">
      <c r="A1455" s="416">
        <v>44403</v>
      </c>
      <c r="B1455" s="403">
        <f t="shared" ref="B1455" si="12">C1455+D1455</f>
        <v>298557</v>
      </c>
      <c r="C1455" s="595">
        <v>298357</v>
      </c>
      <c r="D1455" s="596">
        <v>200</v>
      </c>
    </row>
    <row r="1456" spans="1:4" x14ac:dyDescent="0.2">
      <c r="A1456" s="416">
        <v>44404</v>
      </c>
      <c r="B1456" s="403">
        <v>298047.28999999998</v>
      </c>
      <c r="C1456" s="595">
        <v>298357</v>
      </c>
      <c r="D1456" s="596">
        <v>200</v>
      </c>
    </row>
    <row r="1457" spans="1:4" x14ac:dyDescent="0.2">
      <c r="A1457" s="416">
        <v>44405</v>
      </c>
      <c r="B1457" s="403">
        <f t="shared" ref="B1457:B1520" si="13">C1457+D1457</f>
        <v>298221.59000000003</v>
      </c>
      <c r="C1457" s="403">
        <v>298021.59000000003</v>
      </c>
      <c r="D1457" s="596">
        <v>200</v>
      </c>
    </row>
    <row r="1458" spans="1:4" x14ac:dyDescent="0.2">
      <c r="A1458" s="416">
        <v>44406</v>
      </c>
      <c r="B1458" s="403">
        <f t="shared" si="13"/>
        <v>298222</v>
      </c>
      <c r="C1458" s="403">
        <v>298022</v>
      </c>
      <c r="D1458" s="596">
        <v>200</v>
      </c>
    </row>
    <row r="1459" spans="1:4" x14ac:dyDescent="0.2">
      <c r="A1459" s="416">
        <v>44407</v>
      </c>
      <c r="B1459" s="403">
        <f t="shared" si="13"/>
        <v>286090</v>
      </c>
      <c r="C1459" s="403">
        <v>285890</v>
      </c>
      <c r="D1459" s="596">
        <v>200</v>
      </c>
    </row>
    <row r="1460" spans="1:4" x14ac:dyDescent="0.2">
      <c r="A1460" s="416">
        <v>44410</v>
      </c>
      <c r="B1460" s="403">
        <f t="shared" si="13"/>
        <v>285690.83</v>
      </c>
      <c r="C1460" s="403">
        <v>285490.83</v>
      </c>
      <c r="D1460" s="596">
        <v>200</v>
      </c>
    </row>
    <row r="1461" spans="1:4" x14ac:dyDescent="0.2">
      <c r="A1461" s="416">
        <v>44411</v>
      </c>
      <c r="B1461" s="403">
        <f t="shared" si="13"/>
        <v>250196.9</v>
      </c>
      <c r="C1461" s="403">
        <v>249996.9</v>
      </c>
      <c r="D1461" s="596">
        <v>200</v>
      </c>
    </row>
    <row r="1462" spans="1:4" x14ac:dyDescent="0.2">
      <c r="A1462" s="416">
        <v>44412</v>
      </c>
      <c r="B1462" s="403">
        <f t="shared" si="13"/>
        <v>250197</v>
      </c>
      <c r="C1462" s="403">
        <v>249997</v>
      </c>
      <c r="D1462" s="596">
        <v>200</v>
      </c>
    </row>
    <row r="1463" spans="1:4" x14ac:dyDescent="0.2">
      <c r="A1463" s="416">
        <v>44413</v>
      </c>
      <c r="B1463" s="403">
        <f t="shared" si="13"/>
        <v>242217.24</v>
      </c>
      <c r="C1463" s="403">
        <v>242017.24</v>
      </c>
      <c r="D1463" s="596">
        <v>200</v>
      </c>
    </row>
    <row r="1464" spans="1:4" x14ac:dyDescent="0.2">
      <c r="A1464" s="416">
        <v>44414</v>
      </c>
      <c r="B1464" s="403">
        <f t="shared" si="13"/>
        <v>241916.79</v>
      </c>
      <c r="C1464" s="403">
        <v>241716.79</v>
      </c>
      <c r="D1464" s="596">
        <v>200</v>
      </c>
    </row>
    <row r="1465" spans="1:4" x14ac:dyDescent="0.2">
      <c r="A1465" s="416">
        <v>44417</v>
      </c>
      <c r="B1465" s="403">
        <f t="shared" si="13"/>
        <v>242014.29</v>
      </c>
      <c r="C1465" s="403">
        <v>241814.29</v>
      </c>
      <c r="D1465" s="596">
        <v>200</v>
      </c>
    </row>
    <row r="1466" spans="1:4" x14ac:dyDescent="0.2">
      <c r="A1466" s="416">
        <v>44418</v>
      </c>
      <c r="B1466" s="403">
        <f t="shared" si="13"/>
        <v>260028.48</v>
      </c>
      <c r="C1466" s="403">
        <v>259828.48000000001</v>
      </c>
      <c r="D1466" s="596">
        <v>200</v>
      </c>
    </row>
    <row r="1467" spans="1:4" x14ac:dyDescent="0.2">
      <c r="A1467" s="416">
        <v>44419</v>
      </c>
      <c r="B1467" s="403">
        <f t="shared" si="13"/>
        <v>261085.42</v>
      </c>
      <c r="C1467" s="403">
        <v>260885.42</v>
      </c>
      <c r="D1467" s="596">
        <v>200</v>
      </c>
    </row>
    <row r="1468" spans="1:4" x14ac:dyDescent="0.2">
      <c r="A1468" s="416">
        <v>44420</v>
      </c>
      <c r="B1468" s="403">
        <f t="shared" si="13"/>
        <v>261983.68</v>
      </c>
      <c r="C1468" s="403">
        <v>261783.67999999999</v>
      </c>
      <c r="D1468" s="596">
        <v>200</v>
      </c>
    </row>
    <row r="1469" spans="1:4" x14ac:dyDescent="0.2">
      <c r="A1469" s="416">
        <v>44421</v>
      </c>
      <c r="B1469" s="403">
        <f t="shared" si="13"/>
        <v>262016.54</v>
      </c>
      <c r="C1469" s="403">
        <v>261816.54</v>
      </c>
      <c r="D1469" s="596">
        <v>200</v>
      </c>
    </row>
    <row r="1470" spans="1:4" x14ac:dyDescent="0.2">
      <c r="A1470" s="416">
        <v>44424</v>
      </c>
      <c r="B1470" s="403">
        <f t="shared" si="13"/>
        <v>262016.54</v>
      </c>
      <c r="C1470" s="403">
        <f t="shared" ref="C1470:C1522" si="14">C1469</f>
        <v>261816.54</v>
      </c>
      <c r="D1470" s="596">
        <v>200</v>
      </c>
    </row>
    <row r="1471" spans="1:4" x14ac:dyDescent="0.2">
      <c r="A1471" s="416">
        <v>44425</v>
      </c>
      <c r="B1471" s="403">
        <f t="shared" si="13"/>
        <v>226196.56</v>
      </c>
      <c r="C1471" s="403">
        <v>225996.56</v>
      </c>
      <c r="D1471" s="596">
        <v>200</v>
      </c>
    </row>
    <row r="1472" spans="1:4" x14ac:dyDescent="0.2">
      <c r="A1472" s="416">
        <v>44426</v>
      </c>
      <c r="B1472" s="403">
        <f t="shared" si="13"/>
        <v>245030.16</v>
      </c>
      <c r="C1472" s="403">
        <v>244830.16</v>
      </c>
      <c r="D1472" s="596">
        <v>200</v>
      </c>
    </row>
    <row r="1473" spans="1:4" x14ac:dyDescent="0.2">
      <c r="A1473" s="416">
        <v>44427</v>
      </c>
      <c r="B1473" s="403">
        <f t="shared" si="13"/>
        <v>229633.33</v>
      </c>
      <c r="C1473" s="403">
        <v>229433.33</v>
      </c>
      <c r="D1473" s="596">
        <v>200</v>
      </c>
    </row>
    <row r="1474" spans="1:4" x14ac:dyDescent="0.2">
      <c r="A1474" s="416">
        <v>44428</v>
      </c>
      <c r="B1474" s="403">
        <f t="shared" si="13"/>
        <v>247195.12</v>
      </c>
      <c r="C1474" s="403">
        <v>246995.12</v>
      </c>
      <c r="D1474" s="596">
        <v>200</v>
      </c>
    </row>
    <row r="1475" spans="1:4" x14ac:dyDescent="0.2">
      <c r="A1475" s="416">
        <v>44431</v>
      </c>
      <c r="B1475" s="403">
        <f t="shared" si="13"/>
        <v>247195.12</v>
      </c>
      <c r="C1475" s="403">
        <f t="shared" si="14"/>
        <v>246995.12</v>
      </c>
      <c r="D1475" s="596">
        <v>200</v>
      </c>
    </row>
    <row r="1476" spans="1:4" x14ac:dyDescent="0.2">
      <c r="A1476" s="416">
        <v>44432</v>
      </c>
      <c r="B1476" s="403">
        <f t="shared" si="13"/>
        <v>347649.83</v>
      </c>
      <c r="C1476" s="403">
        <v>347449.83</v>
      </c>
      <c r="D1476" s="596">
        <v>200</v>
      </c>
    </row>
    <row r="1477" spans="1:4" x14ac:dyDescent="0.2">
      <c r="A1477" s="416">
        <v>44433</v>
      </c>
      <c r="B1477" s="403">
        <f t="shared" si="13"/>
        <v>347649.83</v>
      </c>
      <c r="C1477" s="403">
        <f t="shared" si="14"/>
        <v>347449.83</v>
      </c>
      <c r="D1477" s="596">
        <v>200</v>
      </c>
    </row>
    <row r="1478" spans="1:4" x14ac:dyDescent="0.2">
      <c r="A1478" s="416">
        <v>44434</v>
      </c>
      <c r="B1478" s="403">
        <f t="shared" si="13"/>
        <v>341237.68</v>
      </c>
      <c r="C1478" s="403">
        <v>341037.68</v>
      </c>
      <c r="D1478" s="596">
        <v>200</v>
      </c>
    </row>
    <row r="1479" spans="1:4" x14ac:dyDescent="0.2">
      <c r="A1479" s="416">
        <v>44435</v>
      </c>
      <c r="B1479" s="403">
        <f t="shared" si="13"/>
        <v>373525.01</v>
      </c>
      <c r="C1479" s="403">
        <v>373325.01</v>
      </c>
      <c r="D1479" s="596">
        <v>200</v>
      </c>
    </row>
    <row r="1480" spans="1:4" x14ac:dyDescent="0.2">
      <c r="A1480" s="416">
        <v>44438</v>
      </c>
      <c r="B1480" s="403">
        <f t="shared" si="13"/>
        <v>373525.01</v>
      </c>
      <c r="C1480" s="403">
        <f t="shared" si="14"/>
        <v>373325.01</v>
      </c>
      <c r="D1480" s="596">
        <v>200</v>
      </c>
    </row>
    <row r="1481" spans="1:4" x14ac:dyDescent="0.2">
      <c r="A1481" s="416">
        <v>44439</v>
      </c>
      <c r="B1481" s="403">
        <f t="shared" si="13"/>
        <v>336851.39</v>
      </c>
      <c r="C1481" s="403">
        <v>336651.39</v>
      </c>
      <c r="D1481" s="596">
        <v>200</v>
      </c>
    </row>
    <row r="1482" spans="1:4" x14ac:dyDescent="0.2">
      <c r="A1482" s="416">
        <v>44440</v>
      </c>
      <c r="B1482" s="403">
        <f t="shared" si="13"/>
        <v>336851.39</v>
      </c>
      <c r="C1482" s="403">
        <f t="shared" si="14"/>
        <v>336651.39</v>
      </c>
      <c r="D1482" s="596">
        <v>200</v>
      </c>
    </row>
    <row r="1483" spans="1:4" x14ac:dyDescent="0.2">
      <c r="A1483" s="416">
        <v>44441</v>
      </c>
      <c r="B1483" s="403">
        <f t="shared" si="13"/>
        <v>336851.39</v>
      </c>
      <c r="C1483" s="403">
        <f t="shared" si="14"/>
        <v>336651.39</v>
      </c>
      <c r="D1483" s="596">
        <v>200</v>
      </c>
    </row>
    <row r="1484" spans="1:4" x14ac:dyDescent="0.2">
      <c r="A1484" s="416">
        <v>44442</v>
      </c>
      <c r="B1484" s="403">
        <f t="shared" si="13"/>
        <v>360197.14</v>
      </c>
      <c r="C1484" s="403">
        <v>359997.14</v>
      </c>
      <c r="D1484" s="596">
        <v>200</v>
      </c>
    </row>
    <row r="1485" spans="1:4" x14ac:dyDescent="0.2">
      <c r="A1485" s="416">
        <v>44445</v>
      </c>
      <c r="B1485" s="403">
        <f t="shared" si="13"/>
        <v>360197.14</v>
      </c>
      <c r="C1485" s="403">
        <f t="shared" si="14"/>
        <v>359997.14</v>
      </c>
      <c r="D1485" s="596">
        <v>200</v>
      </c>
    </row>
    <row r="1486" spans="1:4" x14ac:dyDescent="0.2">
      <c r="A1486" s="416">
        <v>44446</v>
      </c>
      <c r="B1486" s="403">
        <f t="shared" si="13"/>
        <v>354806.36</v>
      </c>
      <c r="C1486" s="403">
        <v>354606.36</v>
      </c>
      <c r="D1486" s="596">
        <v>200</v>
      </c>
    </row>
    <row r="1487" spans="1:4" x14ac:dyDescent="0.2">
      <c r="A1487" s="416">
        <v>44447</v>
      </c>
      <c r="B1487" s="403">
        <f t="shared" si="13"/>
        <v>354806.36</v>
      </c>
      <c r="C1487" s="403">
        <f t="shared" si="14"/>
        <v>354606.36</v>
      </c>
      <c r="D1487" s="596">
        <v>200</v>
      </c>
    </row>
    <row r="1488" spans="1:4" x14ac:dyDescent="0.2">
      <c r="A1488" s="416">
        <v>44448</v>
      </c>
      <c r="B1488" s="403">
        <f t="shared" si="13"/>
        <v>354806.36</v>
      </c>
      <c r="C1488" s="403">
        <f t="shared" si="14"/>
        <v>354606.36</v>
      </c>
      <c r="D1488" s="596">
        <v>200</v>
      </c>
    </row>
    <row r="1489" spans="1:4" x14ac:dyDescent="0.2">
      <c r="A1489" s="416">
        <v>44449</v>
      </c>
      <c r="B1489" s="403">
        <f t="shared" si="13"/>
        <v>354806.36</v>
      </c>
      <c r="C1489" s="403">
        <f t="shared" si="14"/>
        <v>354606.36</v>
      </c>
      <c r="D1489" s="596">
        <v>200</v>
      </c>
    </row>
    <row r="1490" spans="1:4" x14ac:dyDescent="0.2">
      <c r="A1490" s="416">
        <v>44452</v>
      </c>
      <c r="B1490" s="403">
        <f t="shared" si="13"/>
        <v>317290.98</v>
      </c>
      <c r="C1490" s="403">
        <v>317090.98</v>
      </c>
      <c r="D1490" s="596">
        <v>200</v>
      </c>
    </row>
    <row r="1491" spans="1:4" x14ac:dyDescent="0.2">
      <c r="A1491" s="416">
        <v>44453</v>
      </c>
      <c r="B1491" s="403">
        <f t="shared" si="13"/>
        <v>365898.08</v>
      </c>
      <c r="C1491" s="403">
        <v>365698.08</v>
      </c>
      <c r="D1491" s="596">
        <v>200</v>
      </c>
    </row>
    <row r="1492" spans="1:4" x14ac:dyDescent="0.2">
      <c r="A1492" s="416">
        <v>44454</v>
      </c>
      <c r="B1492" s="403">
        <f t="shared" si="13"/>
        <v>365935.11</v>
      </c>
      <c r="C1492" s="403">
        <v>365735.11</v>
      </c>
      <c r="D1492" s="596">
        <v>200</v>
      </c>
    </row>
    <row r="1493" spans="1:4" x14ac:dyDescent="0.2">
      <c r="A1493" s="416">
        <v>44455</v>
      </c>
      <c r="B1493" s="403">
        <f t="shared" si="13"/>
        <v>365935.11</v>
      </c>
      <c r="C1493" s="403">
        <f t="shared" si="14"/>
        <v>365735.11</v>
      </c>
      <c r="D1493" s="596">
        <v>200</v>
      </c>
    </row>
    <row r="1494" spans="1:4" x14ac:dyDescent="0.2">
      <c r="A1494" s="416">
        <v>44456</v>
      </c>
      <c r="B1494" s="403">
        <f t="shared" si="13"/>
        <v>357664.5</v>
      </c>
      <c r="C1494" s="403">
        <v>357464.5</v>
      </c>
      <c r="D1494" s="596">
        <v>200</v>
      </c>
    </row>
    <row r="1495" spans="1:4" x14ac:dyDescent="0.2">
      <c r="A1495" s="416">
        <v>44459</v>
      </c>
      <c r="B1495" s="403">
        <f t="shared" si="13"/>
        <v>357664.5</v>
      </c>
      <c r="C1495" s="403">
        <f t="shared" si="14"/>
        <v>357464.5</v>
      </c>
      <c r="D1495" s="596">
        <v>200</v>
      </c>
    </row>
    <row r="1496" spans="1:4" x14ac:dyDescent="0.2">
      <c r="A1496" s="416">
        <v>44460</v>
      </c>
      <c r="B1496" s="403">
        <f t="shared" si="13"/>
        <v>357664.5</v>
      </c>
      <c r="C1496" s="403">
        <f t="shared" si="14"/>
        <v>357464.5</v>
      </c>
      <c r="D1496" s="596">
        <v>200</v>
      </c>
    </row>
    <row r="1497" spans="1:4" x14ac:dyDescent="0.2">
      <c r="A1497" s="416">
        <v>44461</v>
      </c>
      <c r="B1497" s="403">
        <f t="shared" si="13"/>
        <v>364108.39</v>
      </c>
      <c r="C1497" s="403">
        <v>363908.39</v>
      </c>
      <c r="D1497" s="596">
        <v>200</v>
      </c>
    </row>
    <row r="1498" spans="1:4" x14ac:dyDescent="0.2">
      <c r="A1498" s="416">
        <v>44462</v>
      </c>
      <c r="B1498" s="403">
        <f t="shared" si="13"/>
        <v>372557.83</v>
      </c>
      <c r="C1498" s="403">
        <v>372357.83</v>
      </c>
      <c r="D1498" s="596">
        <v>200</v>
      </c>
    </row>
    <row r="1499" spans="1:4" x14ac:dyDescent="0.2">
      <c r="A1499" s="416">
        <v>44463</v>
      </c>
      <c r="B1499" s="403">
        <f t="shared" si="13"/>
        <v>372557.83</v>
      </c>
      <c r="C1499" s="403">
        <f t="shared" si="14"/>
        <v>372357.83</v>
      </c>
      <c r="D1499" s="596">
        <v>200</v>
      </c>
    </row>
    <row r="1500" spans="1:4" x14ac:dyDescent="0.2">
      <c r="A1500" s="416">
        <v>44466</v>
      </c>
      <c r="B1500" s="403">
        <f t="shared" si="13"/>
        <v>393073.43</v>
      </c>
      <c r="C1500" s="403">
        <v>392873.43</v>
      </c>
      <c r="D1500" s="596">
        <v>200</v>
      </c>
    </row>
    <row r="1501" spans="1:4" x14ac:dyDescent="0.2">
      <c r="A1501" s="416">
        <v>44467</v>
      </c>
      <c r="B1501" s="403">
        <f t="shared" si="13"/>
        <v>354832.22</v>
      </c>
      <c r="C1501" s="403">
        <v>354632.22</v>
      </c>
      <c r="D1501" s="596">
        <v>200</v>
      </c>
    </row>
    <row r="1502" spans="1:4" x14ac:dyDescent="0.2">
      <c r="A1502" s="416">
        <v>44468</v>
      </c>
      <c r="B1502" s="403">
        <f t="shared" si="13"/>
        <v>354832.22</v>
      </c>
      <c r="C1502" s="403">
        <f t="shared" si="14"/>
        <v>354632.22</v>
      </c>
      <c r="D1502" s="596">
        <v>200</v>
      </c>
    </row>
    <row r="1503" spans="1:4" x14ac:dyDescent="0.2">
      <c r="A1503" s="416">
        <v>44469</v>
      </c>
      <c r="B1503" s="403">
        <f t="shared" si="13"/>
        <v>354832.22</v>
      </c>
      <c r="C1503" s="403">
        <f t="shared" si="14"/>
        <v>354632.22</v>
      </c>
      <c r="D1503" s="596">
        <v>200</v>
      </c>
    </row>
    <row r="1504" spans="1:4" x14ac:dyDescent="0.2">
      <c r="A1504" s="416">
        <v>44470</v>
      </c>
      <c r="B1504" s="403">
        <f t="shared" si="13"/>
        <v>343420.25</v>
      </c>
      <c r="C1504" s="403">
        <v>343220.25</v>
      </c>
      <c r="D1504" s="596">
        <v>200</v>
      </c>
    </row>
    <row r="1505" spans="1:4" x14ac:dyDescent="0.2">
      <c r="A1505" s="416">
        <v>44473</v>
      </c>
      <c r="B1505" s="403">
        <f t="shared" si="13"/>
        <v>343420.25</v>
      </c>
      <c r="C1505" s="403">
        <f t="shared" si="14"/>
        <v>343220.25</v>
      </c>
      <c r="D1505" s="596">
        <v>200</v>
      </c>
    </row>
    <row r="1506" spans="1:4" x14ac:dyDescent="0.2">
      <c r="A1506" s="416">
        <v>44474</v>
      </c>
      <c r="B1506" s="403">
        <f t="shared" si="13"/>
        <v>343582.25</v>
      </c>
      <c r="C1506" s="403">
        <v>343382.25</v>
      </c>
      <c r="D1506" s="596">
        <v>200</v>
      </c>
    </row>
    <row r="1507" spans="1:4" x14ac:dyDescent="0.2">
      <c r="A1507" s="416">
        <v>44475</v>
      </c>
      <c r="B1507" s="403">
        <f t="shared" si="13"/>
        <v>343582.25</v>
      </c>
      <c r="C1507" s="403">
        <f t="shared" si="14"/>
        <v>343382.25</v>
      </c>
      <c r="D1507" s="596">
        <v>200</v>
      </c>
    </row>
    <row r="1508" spans="1:4" x14ac:dyDescent="0.2">
      <c r="A1508" s="416">
        <v>44476</v>
      </c>
      <c r="B1508" s="403">
        <f t="shared" si="13"/>
        <v>343606.26</v>
      </c>
      <c r="C1508" s="403">
        <v>343406.26</v>
      </c>
      <c r="D1508" s="596">
        <v>200</v>
      </c>
    </row>
    <row r="1509" spans="1:4" x14ac:dyDescent="0.2">
      <c r="A1509" s="416">
        <v>44477</v>
      </c>
      <c r="B1509" s="403">
        <f t="shared" si="13"/>
        <v>329221.56</v>
      </c>
      <c r="C1509" s="403">
        <v>329021.56</v>
      </c>
      <c r="D1509" s="596">
        <v>200</v>
      </c>
    </row>
    <row r="1510" spans="1:4" x14ac:dyDescent="0.2">
      <c r="A1510" s="416">
        <v>44480</v>
      </c>
      <c r="B1510" s="403">
        <f t="shared" si="13"/>
        <v>329221.56</v>
      </c>
      <c r="C1510" s="403">
        <f t="shared" si="14"/>
        <v>329021.56</v>
      </c>
      <c r="D1510" s="596">
        <v>200</v>
      </c>
    </row>
    <row r="1511" spans="1:4" x14ac:dyDescent="0.2">
      <c r="A1511" s="416">
        <v>44481</v>
      </c>
      <c r="B1511" s="403">
        <f t="shared" si="13"/>
        <v>288818.46999999997</v>
      </c>
      <c r="C1511" s="403">
        <v>288618.46999999997</v>
      </c>
      <c r="D1511" s="596">
        <v>200</v>
      </c>
    </row>
    <row r="1512" spans="1:4" x14ac:dyDescent="0.2">
      <c r="A1512" s="416">
        <v>44482</v>
      </c>
      <c r="B1512" s="403">
        <f t="shared" si="13"/>
        <v>288818.46999999997</v>
      </c>
      <c r="C1512" s="403">
        <f t="shared" si="14"/>
        <v>288618.46999999997</v>
      </c>
      <c r="D1512" s="596">
        <v>200</v>
      </c>
    </row>
    <row r="1513" spans="1:4" x14ac:dyDescent="0.2">
      <c r="A1513" s="416">
        <v>44483</v>
      </c>
      <c r="B1513" s="403">
        <f t="shared" si="13"/>
        <v>295077.74</v>
      </c>
      <c r="C1513" s="403">
        <v>294877.74</v>
      </c>
      <c r="D1513" s="596">
        <v>200</v>
      </c>
    </row>
    <row r="1514" spans="1:4" x14ac:dyDescent="0.2">
      <c r="A1514" s="416">
        <v>44484</v>
      </c>
      <c r="B1514" s="403">
        <f t="shared" si="13"/>
        <v>313755.08</v>
      </c>
      <c r="C1514" s="403">
        <v>313555.08</v>
      </c>
      <c r="D1514" s="596">
        <v>200</v>
      </c>
    </row>
    <row r="1515" spans="1:4" x14ac:dyDescent="0.2">
      <c r="A1515" s="416">
        <v>44487</v>
      </c>
      <c r="B1515" s="403">
        <f t="shared" si="13"/>
        <v>314129.08</v>
      </c>
      <c r="C1515" s="403">
        <v>313929.08</v>
      </c>
      <c r="D1515" s="596">
        <v>200</v>
      </c>
    </row>
    <row r="1516" spans="1:4" x14ac:dyDescent="0.2">
      <c r="A1516" s="416">
        <v>44488</v>
      </c>
      <c r="B1516" s="403">
        <f t="shared" si="13"/>
        <v>314618.64</v>
      </c>
      <c r="C1516" s="403">
        <v>314418.64</v>
      </c>
      <c r="D1516" s="596">
        <v>200</v>
      </c>
    </row>
    <row r="1517" spans="1:4" x14ac:dyDescent="0.2">
      <c r="A1517" s="416">
        <v>44489</v>
      </c>
      <c r="B1517" s="403">
        <f t="shared" si="13"/>
        <v>312798.90999999997</v>
      </c>
      <c r="C1517" s="403">
        <v>312598.90999999997</v>
      </c>
      <c r="D1517" s="596">
        <v>200</v>
      </c>
    </row>
    <row r="1518" spans="1:4" x14ac:dyDescent="0.2">
      <c r="A1518" s="416">
        <v>44490</v>
      </c>
      <c r="B1518" s="403">
        <f t="shared" si="13"/>
        <v>312798.90999999997</v>
      </c>
      <c r="C1518" s="403">
        <f t="shared" si="14"/>
        <v>312598.90999999997</v>
      </c>
      <c r="D1518" s="596">
        <v>200</v>
      </c>
    </row>
    <row r="1519" spans="1:4" x14ac:dyDescent="0.2">
      <c r="A1519" s="416">
        <v>44491</v>
      </c>
      <c r="B1519" s="403">
        <f t="shared" si="13"/>
        <v>312852.06</v>
      </c>
      <c r="C1519" s="403">
        <v>312652.06</v>
      </c>
      <c r="D1519" s="596">
        <v>200</v>
      </c>
    </row>
    <row r="1520" spans="1:4" x14ac:dyDescent="0.2">
      <c r="A1520" s="416">
        <v>44494</v>
      </c>
      <c r="B1520" s="403">
        <f t="shared" si="13"/>
        <v>276164.93</v>
      </c>
      <c r="C1520" s="403">
        <v>275964.93</v>
      </c>
      <c r="D1520" s="596">
        <v>200</v>
      </c>
    </row>
    <row r="1521" spans="1:4" x14ac:dyDescent="0.2">
      <c r="A1521" s="416">
        <v>44495</v>
      </c>
      <c r="B1521" s="403">
        <f t="shared" ref="B1521:B1584" si="15">C1521+D1521</f>
        <v>272175.64</v>
      </c>
      <c r="C1521" s="403">
        <v>271975.64</v>
      </c>
      <c r="D1521" s="596">
        <v>200</v>
      </c>
    </row>
    <row r="1522" spans="1:4" x14ac:dyDescent="0.2">
      <c r="A1522" s="416">
        <v>44496</v>
      </c>
      <c r="B1522" s="403">
        <f t="shared" si="15"/>
        <v>272175.64</v>
      </c>
      <c r="C1522" s="403">
        <f t="shared" si="14"/>
        <v>271975.64</v>
      </c>
      <c r="D1522" s="596">
        <v>200</v>
      </c>
    </row>
    <row r="1523" spans="1:4" x14ac:dyDescent="0.2">
      <c r="A1523" s="416">
        <v>44497</v>
      </c>
      <c r="B1523" s="403">
        <f t="shared" si="15"/>
        <v>272474.64</v>
      </c>
      <c r="C1523" s="403">
        <v>272274.64</v>
      </c>
      <c r="D1523" s="596">
        <v>200</v>
      </c>
    </row>
    <row r="1524" spans="1:4" x14ac:dyDescent="0.2">
      <c r="A1524" s="416">
        <v>44498</v>
      </c>
      <c r="B1524" s="403">
        <f t="shared" si="15"/>
        <v>272174.19</v>
      </c>
      <c r="C1524" s="403">
        <v>271974.19</v>
      </c>
      <c r="D1524" s="596">
        <v>200</v>
      </c>
    </row>
    <row r="1525" spans="1:4" x14ac:dyDescent="0.2">
      <c r="A1525" s="416">
        <v>44501</v>
      </c>
      <c r="B1525" s="403">
        <f t="shared" si="15"/>
        <v>272174.19</v>
      </c>
      <c r="C1525" s="403">
        <f>C1524</f>
        <v>271974.19</v>
      </c>
      <c r="D1525" s="596">
        <v>200</v>
      </c>
    </row>
    <row r="1526" spans="1:4" x14ac:dyDescent="0.2">
      <c r="A1526" s="416">
        <v>44502</v>
      </c>
      <c r="B1526" s="403">
        <f t="shared" si="15"/>
        <v>272174.19</v>
      </c>
      <c r="C1526" s="403">
        <f t="shared" ref="C1526:C1564" si="16">C1525</f>
        <v>271974.19</v>
      </c>
      <c r="D1526" s="596">
        <v>200</v>
      </c>
    </row>
    <row r="1527" spans="1:4" x14ac:dyDescent="0.2">
      <c r="A1527" s="416">
        <v>44503</v>
      </c>
      <c r="B1527" s="403">
        <f t="shared" si="15"/>
        <v>260821.81</v>
      </c>
      <c r="C1527" s="403">
        <v>260621.81</v>
      </c>
      <c r="D1527" s="596">
        <v>200</v>
      </c>
    </row>
    <row r="1528" spans="1:4" x14ac:dyDescent="0.2">
      <c r="A1528" s="416">
        <v>44504</v>
      </c>
      <c r="B1528" s="403">
        <f t="shared" si="15"/>
        <v>260821.81</v>
      </c>
      <c r="C1528" s="403">
        <f t="shared" si="16"/>
        <v>260621.81</v>
      </c>
      <c r="D1528" s="596">
        <v>200</v>
      </c>
    </row>
    <row r="1529" spans="1:4" x14ac:dyDescent="0.2">
      <c r="A1529" s="416">
        <v>44505</v>
      </c>
      <c r="B1529" s="403">
        <f t="shared" si="15"/>
        <v>260821.81</v>
      </c>
      <c r="C1529" s="403">
        <f t="shared" si="16"/>
        <v>260621.81</v>
      </c>
      <c r="D1529" s="596">
        <v>200</v>
      </c>
    </row>
    <row r="1530" spans="1:4" x14ac:dyDescent="0.2">
      <c r="A1530" s="416">
        <v>44508</v>
      </c>
      <c r="B1530" s="444">
        <f t="shared" si="15"/>
        <v>224274.32</v>
      </c>
      <c r="C1530" s="403">
        <v>224074.32</v>
      </c>
      <c r="D1530" s="596">
        <v>200</v>
      </c>
    </row>
    <row r="1531" spans="1:4" x14ac:dyDescent="0.2">
      <c r="A1531" s="416">
        <v>44509</v>
      </c>
      <c r="B1531" s="403">
        <f t="shared" si="15"/>
        <v>239871.56</v>
      </c>
      <c r="C1531" s="403">
        <v>239671.56</v>
      </c>
      <c r="D1531" s="596">
        <v>200</v>
      </c>
    </row>
    <row r="1532" spans="1:4" x14ac:dyDescent="0.2">
      <c r="A1532" s="416">
        <v>44510</v>
      </c>
      <c r="B1532" s="403">
        <f t="shared" si="15"/>
        <v>260426.56</v>
      </c>
      <c r="C1532" s="403">
        <v>260226.56</v>
      </c>
      <c r="D1532" s="596">
        <v>200</v>
      </c>
    </row>
    <row r="1533" spans="1:4" x14ac:dyDescent="0.2">
      <c r="A1533" s="416">
        <v>44511</v>
      </c>
      <c r="B1533" s="403">
        <f t="shared" si="15"/>
        <v>260426.56</v>
      </c>
      <c r="C1533" s="403">
        <f t="shared" si="16"/>
        <v>260226.56</v>
      </c>
      <c r="D1533" s="596">
        <v>200</v>
      </c>
    </row>
    <row r="1534" spans="1:4" x14ac:dyDescent="0.2">
      <c r="A1534" s="416">
        <v>44512</v>
      </c>
      <c r="B1534" s="403">
        <f t="shared" si="15"/>
        <v>260450.57</v>
      </c>
      <c r="C1534" s="403">
        <v>260250.57</v>
      </c>
      <c r="D1534" s="596">
        <v>200</v>
      </c>
    </row>
    <row r="1535" spans="1:4" x14ac:dyDescent="0.2">
      <c r="A1535" s="416">
        <v>44515</v>
      </c>
      <c r="B1535" s="403">
        <f t="shared" si="15"/>
        <v>260178.68</v>
      </c>
      <c r="C1535" s="403">
        <v>259978.68</v>
      </c>
      <c r="D1535" s="596">
        <v>200</v>
      </c>
    </row>
    <row r="1536" spans="1:4" x14ac:dyDescent="0.2">
      <c r="A1536" s="416">
        <v>44516</v>
      </c>
      <c r="B1536" s="403">
        <f t="shared" si="15"/>
        <v>260178.68</v>
      </c>
      <c r="C1536" s="403">
        <f t="shared" si="16"/>
        <v>259978.68</v>
      </c>
      <c r="D1536" s="596">
        <v>200</v>
      </c>
    </row>
    <row r="1537" spans="1:4" x14ac:dyDescent="0.2">
      <c r="A1537" s="416">
        <v>44517</v>
      </c>
      <c r="B1537" s="403">
        <f t="shared" si="15"/>
        <v>260178.68</v>
      </c>
      <c r="C1537" s="403">
        <f t="shared" si="16"/>
        <v>259978.68</v>
      </c>
      <c r="D1537" s="596">
        <v>200</v>
      </c>
    </row>
    <row r="1538" spans="1:4" x14ac:dyDescent="0.2">
      <c r="A1538" s="416">
        <v>44518</v>
      </c>
      <c r="B1538" s="403">
        <f t="shared" si="15"/>
        <v>298441.25</v>
      </c>
      <c r="C1538" s="403">
        <v>298241.25</v>
      </c>
      <c r="D1538" s="596">
        <v>200</v>
      </c>
    </row>
    <row r="1539" spans="1:4" x14ac:dyDescent="0.2">
      <c r="A1539" s="416">
        <v>44519</v>
      </c>
      <c r="B1539" s="403">
        <f t="shared" si="15"/>
        <v>302391.25</v>
      </c>
      <c r="C1539" s="403">
        <v>302191.25</v>
      </c>
      <c r="D1539" s="596">
        <v>200</v>
      </c>
    </row>
    <row r="1540" spans="1:4" x14ac:dyDescent="0.2">
      <c r="A1540" s="416">
        <v>44522</v>
      </c>
      <c r="B1540" s="403">
        <f t="shared" si="15"/>
        <v>261860.06</v>
      </c>
      <c r="C1540" s="403">
        <v>261660.06</v>
      </c>
      <c r="D1540" s="596">
        <v>200</v>
      </c>
    </row>
    <row r="1541" spans="1:4" x14ac:dyDescent="0.2">
      <c r="A1541" s="416">
        <v>44523</v>
      </c>
      <c r="B1541" s="403">
        <f t="shared" si="15"/>
        <v>261860.06</v>
      </c>
      <c r="C1541" s="403">
        <f t="shared" si="16"/>
        <v>261660.06</v>
      </c>
      <c r="D1541" s="596">
        <v>200</v>
      </c>
    </row>
    <row r="1542" spans="1:4" x14ac:dyDescent="0.2">
      <c r="A1542" s="416">
        <v>44524</v>
      </c>
      <c r="B1542" s="403">
        <f t="shared" si="15"/>
        <v>336740.96</v>
      </c>
      <c r="C1542" s="403">
        <v>336540.96</v>
      </c>
      <c r="D1542" s="596">
        <v>200</v>
      </c>
    </row>
    <row r="1543" spans="1:4" x14ac:dyDescent="0.2">
      <c r="A1543" s="416">
        <v>44525</v>
      </c>
      <c r="B1543" s="403">
        <f t="shared" si="15"/>
        <v>336740.96</v>
      </c>
      <c r="C1543" s="403">
        <f t="shared" si="16"/>
        <v>336540.96</v>
      </c>
      <c r="D1543" s="596">
        <v>200</v>
      </c>
    </row>
    <row r="1544" spans="1:4" x14ac:dyDescent="0.2">
      <c r="A1544" s="416">
        <v>44526</v>
      </c>
      <c r="B1544" s="403">
        <f t="shared" si="15"/>
        <v>396383.57</v>
      </c>
      <c r="C1544" s="403">
        <v>396183.57</v>
      </c>
      <c r="D1544" s="596">
        <v>200</v>
      </c>
    </row>
    <row r="1545" spans="1:4" x14ac:dyDescent="0.2">
      <c r="A1545" s="416">
        <v>44529</v>
      </c>
      <c r="B1545" s="403">
        <f t="shared" si="15"/>
        <v>396383.57</v>
      </c>
      <c r="C1545" s="403">
        <f t="shared" si="16"/>
        <v>396183.57</v>
      </c>
      <c r="D1545" s="596">
        <v>200</v>
      </c>
    </row>
    <row r="1546" spans="1:4" x14ac:dyDescent="0.2">
      <c r="A1546" s="416">
        <v>44530</v>
      </c>
      <c r="B1546" s="403">
        <f t="shared" si="15"/>
        <v>396383.57</v>
      </c>
      <c r="C1546" s="403">
        <f t="shared" si="16"/>
        <v>396183.57</v>
      </c>
      <c r="D1546" s="596">
        <v>200</v>
      </c>
    </row>
    <row r="1547" spans="1:4" x14ac:dyDescent="0.2">
      <c r="A1547" s="416">
        <v>44531</v>
      </c>
      <c r="B1547" s="403">
        <f t="shared" si="15"/>
        <v>406646.33</v>
      </c>
      <c r="C1547" s="403">
        <v>406446.33</v>
      </c>
      <c r="D1547" s="596">
        <v>200</v>
      </c>
    </row>
    <row r="1548" spans="1:4" x14ac:dyDescent="0.2">
      <c r="A1548" s="416">
        <v>44532</v>
      </c>
      <c r="B1548" s="403">
        <f t="shared" si="15"/>
        <v>406646.33</v>
      </c>
      <c r="C1548" s="403">
        <f t="shared" si="16"/>
        <v>406446.33</v>
      </c>
      <c r="D1548" s="596">
        <v>200</v>
      </c>
    </row>
    <row r="1549" spans="1:4" x14ac:dyDescent="0.2">
      <c r="A1549" s="416">
        <v>44533</v>
      </c>
      <c r="B1549" s="403">
        <f t="shared" si="15"/>
        <v>402705.53</v>
      </c>
      <c r="C1549" s="403">
        <v>402505.53</v>
      </c>
      <c r="D1549" s="596">
        <v>200</v>
      </c>
    </row>
    <row r="1550" spans="1:4" x14ac:dyDescent="0.2">
      <c r="A1550" s="416">
        <v>44536</v>
      </c>
      <c r="B1550" s="403">
        <f t="shared" si="15"/>
        <v>402705.53</v>
      </c>
      <c r="C1550" s="403">
        <f t="shared" si="16"/>
        <v>402505.53</v>
      </c>
      <c r="D1550" s="596">
        <v>200</v>
      </c>
    </row>
    <row r="1551" spans="1:4" x14ac:dyDescent="0.2">
      <c r="A1551" s="416">
        <v>44537</v>
      </c>
      <c r="B1551" s="403">
        <f t="shared" si="15"/>
        <v>367227.88</v>
      </c>
      <c r="C1551" s="403">
        <v>367027.88</v>
      </c>
      <c r="D1551" s="596">
        <v>200</v>
      </c>
    </row>
    <row r="1552" spans="1:4" x14ac:dyDescent="0.2">
      <c r="A1552" s="416">
        <v>44538</v>
      </c>
      <c r="B1552" s="403">
        <f t="shared" si="15"/>
        <v>367227.88</v>
      </c>
      <c r="C1552" s="403">
        <f t="shared" si="16"/>
        <v>367027.88</v>
      </c>
      <c r="D1552" s="596">
        <v>200</v>
      </c>
    </row>
    <row r="1553" spans="1:4" x14ac:dyDescent="0.2">
      <c r="A1553" s="416">
        <v>44539</v>
      </c>
      <c r="B1553" s="403">
        <f t="shared" si="15"/>
        <v>361816.56</v>
      </c>
      <c r="C1553" s="403">
        <v>361616.56</v>
      </c>
      <c r="D1553" s="596">
        <v>200</v>
      </c>
    </row>
    <row r="1554" spans="1:4" x14ac:dyDescent="0.2">
      <c r="A1554" s="416">
        <v>44540</v>
      </c>
      <c r="B1554" s="403">
        <f t="shared" si="15"/>
        <v>363428.01</v>
      </c>
      <c r="C1554" s="403">
        <v>363228.01</v>
      </c>
      <c r="D1554" s="596">
        <v>200</v>
      </c>
    </row>
    <row r="1555" spans="1:4" x14ac:dyDescent="0.2">
      <c r="A1555" s="416">
        <v>44543</v>
      </c>
      <c r="B1555" s="403">
        <f t="shared" si="15"/>
        <v>363428.01</v>
      </c>
      <c r="C1555" s="403">
        <f t="shared" si="16"/>
        <v>363228.01</v>
      </c>
      <c r="D1555" s="596">
        <v>200</v>
      </c>
    </row>
    <row r="1556" spans="1:4" x14ac:dyDescent="0.2">
      <c r="A1556" s="416">
        <v>44544</v>
      </c>
      <c r="B1556" s="403">
        <f t="shared" si="15"/>
        <v>388311.01</v>
      </c>
      <c r="C1556" s="403">
        <v>388111.01</v>
      </c>
      <c r="D1556" s="596">
        <v>200</v>
      </c>
    </row>
    <row r="1557" spans="1:4" x14ac:dyDescent="0.2">
      <c r="A1557" s="416">
        <v>44545</v>
      </c>
      <c r="B1557" s="403">
        <f t="shared" si="15"/>
        <v>388648.09</v>
      </c>
      <c r="C1557" s="403">
        <v>388448.09</v>
      </c>
      <c r="D1557" s="596">
        <v>200</v>
      </c>
    </row>
    <row r="1558" spans="1:4" x14ac:dyDescent="0.2">
      <c r="A1558" s="416">
        <v>44546</v>
      </c>
      <c r="B1558" s="403">
        <f t="shared" si="15"/>
        <v>388648.09</v>
      </c>
      <c r="C1558" s="403">
        <f t="shared" si="16"/>
        <v>388448.09</v>
      </c>
      <c r="D1558" s="596">
        <v>200</v>
      </c>
    </row>
    <row r="1559" spans="1:4" x14ac:dyDescent="0.2">
      <c r="A1559" s="416">
        <v>44547</v>
      </c>
      <c r="B1559" s="403">
        <f t="shared" si="15"/>
        <v>388648.09</v>
      </c>
      <c r="C1559" s="403">
        <f t="shared" si="16"/>
        <v>388448.09</v>
      </c>
      <c r="D1559" s="596">
        <v>200</v>
      </c>
    </row>
    <row r="1560" spans="1:4" x14ac:dyDescent="0.2">
      <c r="A1560" s="416">
        <v>44550</v>
      </c>
      <c r="B1560" s="403">
        <f t="shared" si="15"/>
        <v>402388.44</v>
      </c>
      <c r="C1560" s="403">
        <v>402188.44</v>
      </c>
      <c r="D1560" s="596">
        <v>200</v>
      </c>
    </row>
    <row r="1561" spans="1:4" x14ac:dyDescent="0.2">
      <c r="A1561" s="416">
        <v>44551</v>
      </c>
      <c r="B1561" s="403">
        <f t="shared" si="15"/>
        <v>364870.61</v>
      </c>
      <c r="C1561" s="403">
        <v>364670.61</v>
      </c>
      <c r="D1561" s="596">
        <v>200</v>
      </c>
    </row>
    <row r="1562" spans="1:4" x14ac:dyDescent="0.2">
      <c r="A1562" s="416">
        <v>44552</v>
      </c>
      <c r="B1562" s="403">
        <f t="shared" si="15"/>
        <v>364870.61</v>
      </c>
      <c r="C1562" s="403">
        <f t="shared" si="16"/>
        <v>364670.61</v>
      </c>
      <c r="D1562" s="596">
        <v>200</v>
      </c>
    </row>
    <row r="1563" spans="1:4" x14ac:dyDescent="0.2">
      <c r="A1563" s="416">
        <v>44553</v>
      </c>
      <c r="B1563" s="403">
        <f t="shared" si="15"/>
        <v>364270.61</v>
      </c>
      <c r="C1563" s="403">
        <v>364070.61</v>
      </c>
      <c r="D1563" s="596">
        <v>200</v>
      </c>
    </row>
    <row r="1564" spans="1:4" x14ac:dyDescent="0.2">
      <c r="A1564" s="416">
        <v>44554</v>
      </c>
      <c r="B1564" s="403">
        <f t="shared" si="15"/>
        <v>364270.61</v>
      </c>
      <c r="C1564" s="403">
        <f t="shared" si="16"/>
        <v>364070.61</v>
      </c>
      <c r="D1564" s="596">
        <v>200</v>
      </c>
    </row>
    <row r="1565" spans="1:4" x14ac:dyDescent="0.2">
      <c r="A1565" s="416">
        <v>44557</v>
      </c>
      <c r="B1565" s="403">
        <f t="shared" si="15"/>
        <v>364511.61</v>
      </c>
      <c r="C1565" s="403">
        <v>364311.61</v>
      </c>
      <c r="D1565" s="596">
        <v>200</v>
      </c>
    </row>
    <row r="1566" spans="1:4" x14ac:dyDescent="0.2">
      <c r="A1566" s="416">
        <v>44558</v>
      </c>
      <c r="B1566" s="403">
        <f t="shared" si="15"/>
        <v>366287.78</v>
      </c>
      <c r="C1566" s="403">
        <v>366087.78</v>
      </c>
      <c r="D1566" s="596">
        <v>200</v>
      </c>
    </row>
    <row r="1567" spans="1:4" x14ac:dyDescent="0.2">
      <c r="A1567" s="416">
        <v>44559</v>
      </c>
      <c r="B1567" s="403">
        <f t="shared" si="15"/>
        <v>406505.93</v>
      </c>
      <c r="C1567" s="403">
        <v>406305.93</v>
      </c>
      <c r="D1567" s="596">
        <v>200</v>
      </c>
    </row>
    <row r="1568" spans="1:4" x14ac:dyDescent="0.2">
      <c r="A1568" s="416">
        <v>44560</v>
      </c>
      <c r="B1568" s="403">
        <f>C1568+D1568</f>
        <v>406602.93</v>
      </c>
      <c r="C1568" s="403">
        <v>406402.93</v>
      </c>
      <c r="D1568" s="596">
        <v>200</v>
      </c>
    </row>
    <row r="1569" spans="1:4" x14ac:dyDescent="0.2">
      <c r="A1569" s="416">
        <v>44561</v>
      </c>
      <c r="B1569" s="403">
        <f t="shared" si="15"/>
        <v>406700.45</v>
      </c>
      <c r="C1569" s="403">
        <v>406500.45</v>
      </c>
      <c r="D1569" s="596">
        <v>200</v>
      </c>
    </row>
    <row r="1570" spans="1:4" x14ac:dyDescent="0.2">
      <c r="A1570" s="416">
        <v>44564</v>
      </c>
      <c r="B1570" s="403">
        <f t="shared" si="15"/>
        <v>406650.45</v>
      </c>
      <c r="C1570" s="403">
        <v>406450.45</v>
      </c>
      <c r="D1570" s="596">
        <v>200</v>
      </c>
    </row>
    <row r="1571" spans="1:4" x14ac:dyDescent="0.2">
      <c r="A1571" s="416">
        <v>44565</v>
      </c>
      <c r="B1571" s="403">
        <f t="shared" si="15"/>
        <v>372842.39</v>
      </c>
      <c r="C1571" s="403">
        <v>372642.39</v>
      </c>
      <c r="D1571" s="596">
        <v>200</v>
      </c>
    </row>
    <row r="1572" spans="1:4" x14ac:dyDescent="0.2">
      <c r="A1572" s="416">
        <v>44566</v>
      </c>
      <c r="B1572" s="403">
        <f t="shared" si="15"/>
        <v>370078.36</v>
      </c>
      <c r="C1572" s="403">
        <v>369878.36</v>
      </c>
      <c r="D1572" s="596">
        <v>200</v>
      </c>
    </row>
    <row r="1573" spans="1:4" x14ac:dyDescent="0.2">
      <c r="A1573" s="416">
        <v>44567</v>
      </c>
      <c r="B1573" s="403">
        <f t="shared" si="15"/>
        <v>368257.32</v>
      </c>
      <c r="C1573" s="403">
        <v>368057.32</v>
      </c>
      <c r="D1573" s="596">
        <v>200</v>
      </c>
    </row>
    <row r="1574" spans="1:4" x14ac:dyDescent="0.2">
      <c r="A1574" s="416">
        <v>44568</v>
      </c>
      <c r="B1574" s="403">
        <f t="shared" si="15"/>
        <v>369146.3</v>
      </c>
      <c r="C1574" s="403">
        <v>368946.3</v>
      </c>
      <c r="D1574" s="596">
        <v>200</v>
      </c>
    </row>
    <row r="1575" spans="1:4" x14ac:dyDescent="0.2">
      <c r="A1575" s="416">
        <v>44571</v>
      </c>
      <c r="B1575" s="403">
        <f t="shared" si="15"/>
        <v>369146.3</v>
      </c>
      <c r="C1575" s="403">
        <f t="shared" ref="C1575:C1637" si="17">C1574</f>
        <v>368946.3</v>
      </c>
      <c r="D1575" s="596">
        <v>200</v>
      </c>
    </row>
    <row r="1576" spans="1:4" x14ac:dyDescent="0.2">
      <c r="A1576" s="416">
        <v>44572</v>
      </c>
      <c r="B1576" s="403">
        <f t="shared" si="15"/>
        <v>369146.3</v>
      </c>
      <c r="C1576" s="403">
        <f t="shared" si="17"/>
        <v>368946.3</v>
      </c>
      <c r="D1576" s="596">
        <v>200</v>
      </c>
    </row>
    <row r="1577" spans="1:4" x14ac:dyDescent="0.2">
      <c r="A1577" s="416">
        <v>44573</v>
      </c>
      <c r="B1577" s="403">
        <f t="shared" si="15"/>
        <v>369146.3</v>
      </c>
      <c r="C1577" s="403">
        <f t="shared" si="17"/>
        <v>368946.3</v>
      </c>
      <c r="D1577" s="596">
        <v>200</v>
      </c>
    </row>
    <row r="1578" spans="1:4" x14ac:dyDescent="0.2">
      <c r="A1578" s="416">
        <v>44574</v>
      </c>
      <c r="B1578" s="403">
        <f t="shared" si="15"/>
        <v>369318.3</v>
      </c>
      <c r="C1578" s="403">
        <v>369118.3</v>
      </c>
      <c r="D1578" s="596">
        <v>200</v>
      </c>
    </row>
    <row r="1579" spans="1:4" x14ac:dyDescent="0.2">
      <c r="A1579" s="416">
        <v>44575</v>
      </c>
      <c r="B1579" s="403">
        <f t="shared" si="15"/>
        <v>369357.16</v>
      </c>
      <c r="C1579" s="403">
        <v>369157.16</v>
      </c>
      <c r="D1579" s="596">
        <v>200</v>
      </c>
    </row>
    <row r="1580" spans="1:4" x14ac:dyDescent="0.2">
      <c r="A1580" s="416">
        <v>44578</v>
      </c>
      <c r="B1580" s="403">
        <f t="shared" si="15"/>
        <v>369357.16</v>
      </c>
      <c r="C1580" s="403">
        <f t="shared" si="17"/>
        <v>369157.16</v>
      </c>
      <c r="D1580" s="596">
        <v>200</v>
      </c>
    </row>
    <row r="1581" spans="1:4" x14ac:dyDescent="0.2">
      <c r="A1581" s="416">
        <v>44579</v>
      </c>
      <c r="B1581" s="403">
        <f t="shared" si="15"/>
        <v>328912.42</v>
      </c>
      <c r="C1581" s="403">
        <v>328712.42</v>
      </c>
      <c r="D1581" s="596">
        <v>200</v>
      </c>
    </row>
    <row r="1582" spans="1:4" x14ac:dyDescent="0.2">
      <c r="A1582" s="416">
        <v>44580</v>
      </c>
      <c r="B1582" s="403">
        <f t="shared" si="15"/>
        <v>324854.01</v>
      </c>
      <c r="C1582" s="403">
        <v>324654.01</v>
      </c>
      <c r="D1582" s="596">
        <v>200</v>
      </c>
    </row>
    <row r="1583" spans="1:4" x14ac:dyDescent="0.2">
      <c r="A1583" s="416">
        <v>44581</v>
      </c>
      <c r="B1583" s="403">
        <f t="shared" si="15"/>
        <v>373026.22</v>
      </c>
      <c r="C1583" s="403">
        <v>372826.22</v>
      </c>
      <c r="D1583" s="596">
        <v>200</v>
      </c>
    </row>
    <row r="1584" spans="1:4" ht="12.75" customHeight="1" x14ac:dyDescent="0.2">
      <c r="A1584" s="416">
        <v>44582</v>
      </c>
      <c r="B1584" s="403">
        <f t="shared" si="15"/>
        <v>372715.39</v>
      </c>
      <c r="C1584" s="403">
        <v>372515.39</v>
      </c>
      <c r="D1584" s="596">
        <v>200</v>
      </c>
    </row>
    <row r="1585" spans="1:4" x14ac:dyDescent="0.2">
      <c r="A1585" s="416">
        <v>44585</v>
      </c>
      <c r="B1585" s="403">
        <f t="shared" ref="B1585:B1648" si="18">C1585+D1585</f>
        <v>352413.78</v>
      </c>
      <c r="C1585" s="403">
        <v>352213.78</v>
      </c>
      <c r="D1585" s="596">
        <v>200</v>
      </c>
    </row>
    <row r="1586" spans="1:4" x14ac:dyDescent="0.2">
      <c r="A1586" s="416">
        <v>44586</v>
      </c>
      <c r="B1586" s="403">
        <f t="shared" si="18"/>
        <v>324543.71999999997</v>
      </c>
      <c r="C1586" s="403">
        <v>324343.71999999997</v>
      </c>
      <c r="D1586" s="596">
        <v>200</v>
      </c>
    </row>
    <row r="1587" spans="1:4" x14ac:dyDescent="0.2">
      <c r="A1587" s="416">
        <v>44587</v>
      </c>
      <c r="B1587" s="403">
        <f t="shared" si="18"/>
        <v>324510.76</v>
      </c>
      <c r="C1587" s="403">
        <v>324310.76</v>
      </c>
      <c r="D1587" s="596">
        <v>200</v>
      </c>
    </row>
    <row r="1588" spans="1:4" x14ac:dyDescent="0.2">
      <c r="A1588" s="416">
        <v>44588</v>
      </c>
      <c r="B1588" s="403">
        <f t="shared" si="18"/>
        <v>290902.11</v>
      </c>
      <c r="C1588" s="403">
        <v>290702.11</v>
      </c>
      <c r="D1588" s="596">
        <v>200</v>
      </c>
    </row>
    <row r="1589" spans="1:4" x14ac:dyDescent="0.2">
      <c r="A1589" s="416">
        <v>44589</v>
      </c>
      <c r="B1589" s="403">
        <f t="shared" si="18"/>
        <v>290902.11</v>
      </c>
      <c r="C1589" s="403">
        <f t="shared" si="17"/>
        <v>290702.11</v>
      </c>
      <c r="D1589" s="596">
        <v>200</v>
      </c>
    </row>
    <row r="1590" spans="1:4" x14ac:dyDescent="0.2">
      <c r="A1590" s="416">
        <v>44592</v>
      </c>
      <c r="B1590" s="403">
        <f t="shared" si="18"/>
        <v>309578.59999999998</v>
      </c>
      <c r="C1590" s="403">
        <v>309378.59999999998</v>
      </c>
      <c r="D1590" s="596">
        <v>200</v>
      </c>
    </row>
    <row r="1591" spans="1:4" x14ac:dyDescent="0.2">
      <c r="A1591" s="416">
        <v>44593</v>
      </c>
      <c r="B1591" s="403">
        <f t="shared" si="18"/>
        <v>292963.95</v>
      </c>
      <c r="C1591" s="403">
        <v>292763.95</v>
      </c>
      <c r="D1591" s="596">
        <v>200</v>
      </c>
    </row>
    <row r="1592" spans="1:4" x14ac:dyDescent="0.2">
      <c r="A1592" s="416">
        <v>44594</v>
      </c>
      <c r="B1592" s="403">
        <f t="shared" si="18"/>
        <v>345714.5</v>
      </c>
      <c r="C1592" s="403">
        <v>345514.5</v>
      </c>
      <c r="D1592" s="596">
        <v>200</v>
      </c>
    </row>
    <row r="1593" spans="1:4" x14ac:dyDescent="0.2">
      <c r="A1593" s="416">
        <v>44595</v>
      </c>
      <c r="B1593" s="403">
        <f t="shared" si="18"/>
        <v>344030.58</v>
      </c>
      <c r="C1593" s="403">
        <v>343830.58</v>
      </c>
      <c r="D1593" s="596">
        <v>200</v>
      </c>
    </row>
    <row r="1594" spans="1:4" x14ac:dyDescent="0.2">
      <c r="A1594" s="416">
        <v>44596</v>
      </c>
      <c r="B1594" s="403">
        <f t="shared" si="18"/>
        <v>387503.42</v>
      </c>
      <c r="C1594" s="403">
        <v>387303.42</v>
      </c>
      <c r="D1594" s="596">
        <v>200</v>
      </c>
    </row>
    <row r="1595" spans="1:4" x14ac:dyDescent="0.2">
      <c r="A1595" s="416">
        <v>44599</v>
      </c>
      <c r="B1595" s="403">
        <f t="shared" si="18"/>
        <v>387503.42</v>
      </c>
      <c r="C1595" s="403">
        <f t="shared" si="17"/>
        <v>387303.42</v>
      </c>
      <c r="D1595" s="596">
        <v>200</v>
      </c>
    </row>
    <row r="1596" spans="1:4" x14ac:dyDescent="0.2">
      <c r="A1596" s="416">
        <v>44600</v>
      </c>
      <c r="B1596" s="403">
        <f t="shared" si="18"/>
        <v>387503.42</v>
      </c>
      <c r="C1596" s="403">
        <f t="shared" si="17"/>
        <v>387303.42</v>
      </c>
      <c r="D1596" s="596">
        <v>200</v>
      </c>
    </row>
    <row r="1597" spans="1:4" x14ac:dyDescent="0.2">
      <c r="A1597" s="416">
        <v>44601</v>
      </c>
      <c r="B1597" s="403">
        <f t="shared" si="18"/>
        <v>387503.42</v>
      </c>
      <c r="C1597" s="403">
        <f t="shared" si="17"/>
        <v>387303.42</v>
      </c>
      <c r="D1597" s="596">
        <v>200</v>
      </c>
    </row>
    <row r="1598" spans="1:4" x14ac:dyDescent="0.2">
      <c r="A1598" s="416">
        <v>44602</v>
      </c>
      <c r="B1598" s="444">
        <f t="shared" si="18"/>
        <v>411517.59</v>
      </c>
      <c r="C1598" s="403">
        <v>411317.59</v>
      </c>
      <c r="D1598" s="596">
        <v>200</v>
      </c>
    </row>
    <row r="1599" spans="1:4" x14ac:dyDescent="0.2">
      <c r="A1599" s="416">
        <v>44603</v>
      </c>
      <c r="B1599" s="403">
        <f t="shared" si="18"/>
        <v>388476.71</v>
      </c>
      <c r="C1599" s="403">
        <v>388276.71</v>
      </c>
      <c r="D1599" s="596">
        <v>200</v>
      </c>
    </row>
    <row r="1600" spans="1:4" x14ac:dyDescent="0.2">
      <c r="A1600" s="416">
        <v>44606</v>
      </c>
      <c r="B1600" s="403">
        <f t="shared" si="18"/>
        <v>388476.71</v>
      </c>
      <c r="C1600" s="403">
        <f t="shared" si="17"/>
        <v>388276.71</v>
      </c>
      <c r="D1600" s="596">
        <v>200</v>
      </c>
    </row>
    <row r="1601" spans="1:4" x14ac:dyDescent="0.2">
      <c r="A1601" s="416">
        <v>44607</v>
      </c>
      <c r="B1601" s="403">
        <f t="shared" si="18"/>
        <v>350398.25</v>
      </c>
      <c r="C1601" s="403">
        <v>350198.25</v>
      </c>
      <c r="D1601" s="596">
        <v>200</v>
      </c>
    </row>
    <row r="1602" spans="1:4" x14ac:dyDescent="0.2">
      <c r="A1602" s="416">
        <v>44608</v>
      </c>
      <c r="B1602" s="403">
        <f t="shared" si="18"/>
        <v>350398.25</v>
      </c>
      <c r="C1602" s="403">
        <f t="shared" si="17"/>
        <v>350198.25</v>
      </c>
      <c r="D1602" s="596">
        <v>200</v>
      </c>
    </row>
    <row r="1603" spans="1:4" x14ac:dyDescent="0.2">
      <c r="A1603" s="416">
        <v>44609</v>
      </c>
      <c r="B1603" s="403">
        <f t="shared" si="18"/>
        <v>329726.17</v>
      </c>
      <c r="C1603" s="403">
        <v>329526.17</v>
      </c>
      <c r="D1603" s="596">
        <v>200</v>
      </c>
    </row>
    <row r="1604" spans="1:4" x14ac:dyDescent="0.2">
      <c r="A1604" s="416">
        <v>44610</v>
      </c>
      <c r="B1604" s="403">
        <f t="shared" si="18"/>
        <v>329566.19</v>
      </c>
      <c r="C1604" s="403">
        <v>329366.19</v>
      </c>
      <c r="D1604" s="596">
        <v>200</v>
      </c>
    </row>
    <row r="1605" spans="1:4" x14ac:dyDescent="0.2">
      <c r="A1605" s="416">
        <v>44613</v>
      </c>
      <c r="B1605" s="403">
        <f t="shared" si="18"/>
        <v>329566.19</v>
      </c>
      <c r="C1605" s="403">
        <f t="shared" si="17"/>
        <v>329366.19</v>
      </c>
      <c r="D1605" s="596">
        <v>200</v>
      </c>
    </row>
    <row r="1606" spans="1:4" x14ac:dyDescent="0.2">
      <c r="A1606" s="416">
        <v>44614</v>
      </c>
      <c r="B1606" s="403">
        <f t="shared" si="18"/>
        <v>329566.19</v>
      </c>
      <c r="C1606" s="403">
        <f t="shared" si="17"/>
        <v>329366.19</v>
      </c>
      <c r="D1606" s="596">
        <v>200</v>
      </c>
    </row>
    <row r="1607" spans="1:4" x14ac:dyDescent="0.2">
      <c r="A1607" s="416">
        <v>44615</v>
      </c>
      <c r="B1607" s="403">
        <f t="shared" si="18"/>
        <v>330827.17</v>
      </c>
      <c r="C1607" s="403">
        <v>330627.17</v>
      </c>
      <c r="D1607" s="596">
        <v>200</v>
      </c>
    </row>
    <row r="1608" spans="1:4" x14ac:dyDescent="0.2">
      <c r="A1608" s="416">
        <v>44616</v>
      </c>
      <c r="B1608" s="403">
        <f t="shared" si="18"/>
        <v>331382.17</v>
      </c>
      <c r="C1608" s="403">
        <v>331182.17</v>
      </c>
      <c r="D1608" s="596">
        <v>200</v>
      </c>
    </row>
    <row r="1609" spans="1:4" x14ac:dyDescent="0.2">
      <c r="A1609" s="416">
        <v>44617</v>
      </c>
      <c r="B1609" s="403">
        <f t="shared" si="18"/>
        <v>331382.17</v>
      </c>
      <c r="C1609" s="403">
        <f t="shared" si="17"/>
        <v>331182.17</v>
      </c>
      <c r="D1609" s="596">
        <v>200</v>
      </c>
    </row>
    <row r="1610" spans="1:4" x14ac:dyDescent="0.2">
      <c r="A1610" s="416">
        <v>44620</v>
      </c>
      <c r="B1610" s="403">
        <f t="shared" si="18"/>
        <v>331382.17</v>
      </c>
      <c r="C1610" s="403">
        <f t="shared" si="17"/>
        <v>331182.17</v>
      </c>
      <c r="D1610" s="596">
        <v>200</v>
      </c>
    </row>
    <row r="1611" spans="1:4" x14ac:dyDescent="0.2">
      <c r="A1611" s="416">
        <v>44621</v>
      </c>
      <c r="B1611" s="403">
        <f t="shared" si="18"/>
        <v>293888.99</v>
      </c>
      <c r="C1611" s="403">
        <v>293688.99</v>
      </c>
      <c r="D1611" s="596">
        <v>200</v>
      </c>
    </row>
    <row r="1612" spans="1:4" x14ac:dyDescent="0.2">
      <c r="A1612" s="416">
        <v>44622</v>
      </c>
      <c r="B1612" s="403">
        <f t="shared" si="18"/>
        <v>321342.32</v>
      </c>
      <c r="C1612" s="403">
        <v>321142.32</v>
      </c>
      <c r="D1612" s="596">
        <v>200</v>
      </c>
    </row>
    <row r="1613" spans="1:4" x14ac:dyDescent="0.2">
      <c r="A1613" s="416">
        <v>44623</v>
      </c>
      <c r="B1613" s="403">
        <f t="shared" si="18"/>
        <v>328875.55</v>
      </c>
      <c r="C1613" s="403">
        <v>328675.55</v>
      </c>
      <c r="D1613" s="596">
        <v>200</v>
      </c>
    </row>
    <row r="1614" spans="1:4" x14ac:dyDescent="0.2">
      <c r="A1614" s="416">
        <v>44624</v>
      </c>
      <c r="B1614" s="403">
        <f t="shared" si="18"/>
        <v>311978.17</v>
      </c>
      <c r="C1614" s="403">
        <v>311778.17</v>
      </c>
      <c r="D1614" s="596">
        <v>200</v>
      </c>
    </row>
    <row r="1615" spans="1:4" x14ac:dyDescent="0.2">
      <c r="A1615" s="416">
        <v>44627</v>
      </c>
      <c r="B1615" s="403">
        <f t="shared" si="18"/>
        <v>311978.17</v>
      </c>
      <c r="C1615" s="403">
        <f t="shared" si="17"/>
        <v>311778.17</v>
      </c>
      <c r="D1615" s="596">
        <v>200</v>
      </c>
    </row>
    <row r="1616" spans="1:4" x14ac:dyDescent="0.2">
      <c r="A1616" s="416">
        <v>44628</v>
      </c>
      <c r="B1616" s="403">
        <f t="shared" si="18"/>
        <v>323791.65000000002</v>
      </c>
      <c r="C1616" s="403">
        <v>323591.65000000002</v>
      </c>
      <c r="D1616" s="596">
        <v>200</v>
      </c>
    </row>
    <row r="1617" spans="1:4" x14ac:dyDescent="0.2">
      <c r="A1617" s="416">
        <v>44629</v>
      </c>
      <c r="B1617" s="403">
        <f t="shared" si="18"/>
        <v>323791.65000000002</v>
      </c>
      <c r="C1617" s="403">
        <f t="shared" si="17"/>
        <v>323591.65000000002</v>
      </c>
      <c r="D1617" s="596">
        <v>200</v>
      </c>
    </row>
    <row r="1618" spans="1:4" x14ac:dyDescent="0.2">
      <c r="A1618" s="416">
        <v>44630</v>
      </c>
      <c r="B1618" s="403">
        <f t="shared" si="18"/>
        <v>304395.95</v>
      </c>
      <c r="C1618" s="403">
        <v>304195.95</v>
      </c>
      <c r="D1618" s="596">
        <v>200</v>
      </c>
    </row>
    <row r="1619" spans="1:4" x14ac:dyDescent="0.2">
      <c r="A1619" s="416">
        <v>44631</v>
      </c>
      <c r="B1619" s="403">
        <f t="shared" si="18"/>
        <v>304395.95</v>
      </c>
      <c r="C1619" s="403">
        <f t="shared" si="17"/>
        <v>304195.95</v>
      </c>
      <c r="D1619" s="596">
        <v>200</v>
      </c>
    </row>
    <row r="1620" spans="1:4" x14ac:dyDescent="0.2">
      <c r="A1620" s="416">
        <v>44634</v>
      </c>
      <c r="B1620" s="403">
        <f t="shared" si="18"/>
        <v>304395.95</v>
      </c>
      <c r="C1620" s="403">
        <f t="shared" si="17"/>
        <v>304195.95</v>
      </c>
      <c r="D1620" s="596">
        <v>200</v>
      </c>
    </row>
    <row r="1621" spans="1:4" x14ac:dyDescent="0.2">
      <c r="A1621" s="416">
        <v>44635</v>
      </c>
      <c r="B1621" s="403">
        <f t="shared" si="18"/>
        <v>354177.58</v>
      </c>
      <c r="C1621" s="403">
        <v>353977.58</v>
      </c>
      <c r="D1621" s="596">
        <v>200</v>
      </c>
    </row>
    <row r="1622" spans="1:4" x14ac:dyDescent="0.2">
      <c r="A1622" s="416">
        <v>44636</v>
      </c>
      <c r="B1622" s="403">
        <f t="shared" si="18"/>
        <v>354177.58</v>
      </c>
      <c r="C1622" s="403">
        <f t="shared" si="17"/>
        <v>353977.58</v>
      </c>
      <c r="D1622" s="596">
        <v>200</v>
      </c>
    </row>
    <row r="1623" spans="1:4" x14ac:dyDescent="0.2">
      <c r="A1623" s="416">
        <v>44637</v>
      </c>
      <c r="B1623" s="403">
        <f t="shared" si="18"/>
        <v>272443</v>
      </c>
      <c r="C1623" s="403">
        <v>272243</v>
      </c>
      <c r="D1623" s="596">
        <v>200</v>
      </c>
    </row>
    <row r="1624" spans="1:4" x14ac:dyDescent="0.2">
      <c r="A1624" s="416">
        <v>44638</v>
      </c>
      <c r="B1624" s="403">
        <f t="shared" si="18"/>
        <v>271968.02</v>
      </c>
      <c r="C1624" s="403">
        <v>271768.02</v>
      </c>
      <c r="D1624" s="596">
        <v>200</v>
      </c>
    </row>
    <row r="1625" spans="1:4" x14ac:dyDescent="0.2">
      <c r="A1625" s="416">
        <v>44641</v>
      </c>
      <c r="B1625" s="403">
        <f t="shared" si="18"/>
        <v>287143.02</v>
      </c>
      <c r="C1625" s="403">
        <v>286943.02</v>
      </c>
      <c r="D1625" s="596">
        <v>200</v>
      </c>
    </row>
    <row r="1626" spans="1:4" x14ac:dyDescent="0.2">
      <c r="A1626" s="416">
        <v>44642</v>
      </c>
      <c r="B1626" s="403">
        <f t="shared" si="18"/>
        <v>287143.02</v>
      </c>
      <c r="C1626" s="403">
        <f t="shared" si="17"/>
        <v>286943.02</v>
      </c>
      <c r="D1626" s="596">
        <v>200</v>
      </c>
    </row>
    <row r="1627" spans="1:4" x14ac:dyDescent="0.2">
      <c r="A1627" s="416">
        <v>44643</v>
      </c>
      <c r="B1627" s="403">
        <f t="shared" si="18"/>
        <v>171561.3</v>
      </c>
      <c r="C1627" s="403">
        <v>171361.3</v>
      </c>
      <c r="D1627" s="596">
        <v>200</v>
      </c>
    </row>
    <row r="1628" spans="1:4" x14ac:dyDescent="0.2">
      <c r="A1628" s="416">
        <v>44644</v>
      </c>
      <c r="B1628" s="403">
        <f t="shared" si="18"/>
        <v>171561.3</v>
      </c>
      <c r="C1628" s="403">
        <f t="shared" si="17"/>
        <v>171361.3</v>
      </c>
      <c r="D1628" s="596">
        <v>200</v>
      </c>
    </row>
    <row r="1629" spans="1:4" x14ac:dyDescent="0.2">
      <c r="A1629" s="416">
        <v>44645</v>
      </c>
      <c r="B1629" s="403">
        <f t="shared" si="18"/>
        <v>194069.16</v>
      </c>
      <c r="C1629" s="403">
        <v>193869.16</v>
      </c>
      <c r="D1629" s="596">
        <v>200</v>
      </c>
    </row>
    <row r="1630" spans="1:4" x14ac:dyDescent="0.2">
      <c r="A1630" s="416">
        <v>44648</v>
      </c>
      <c r="B1630" s="403">
        <f t="shared" si="18"/>
        <v>184965.34</v>
      </c>
      <c r="C1630" s="403">
        <v>184765.34</v>
      </c>
      <c r="D1630" s="596">
        <v>200</v>
      </c>
    </row>
    <row r="1631" spans="1:4" x14ac:dyDescent="0.2">
      <c r="A1631" s="416">
        <v>44649</v>
      </c>
      <c r="B1631" s="403">
        <f t="shared" si="18"/>
        <v>140741.59</v>
      </c>
      <c r="C1631" s="403">
        <v>140541.59</v>
      </c>
      <c r="D1631" s="596">
        <v>200</v>
      </c>
    </row>
    <row r="1632" spans="1:4" x14ac:dyDescent="0.2">
      <c r="A1632" s="416">
        <v>44650</v>
      </c>
      <c r="B1632" s="444">
        <f t="shared" si="18"/>
        <v>140708.63</v>
      </c>
      <c r="C1632" s="403">
        <v>140508.63</v>
      </c>
      <c r="D1632" s="596">
        <v>200</v>
      </c>
    </row>
    <row r="1633" spans="1:4" x14ac:dyDescent="0.2">
      <c r="A1633" s="416">
        <v>44651</v>
      </c>
      <c r="B1633" s="403">
        <f t="shared" si="18"/>
        <v>281239.25</v>
      </c>
      <c r="C1633" s="403">
        <v>281039.25</v>
      </c>
      <c r="D1633" s="596">
        <v>200</v>
      </c>
    </row>
    <row r="1634" spans="1:4" x14ac:dyDescent="0.2">
      <c r="A1634" s="416">
        <v>44652</v>
      </c>
      <c r="B1634" s="403">
        <f t="shared" si="18"/>
        <v>283716.02</v>
      </c>
      <c r="C1634" s="403">
        <v>283516.02</v>
      </c>
      <c r="D1634" s="596">
        <v>200</v>
      </c>
    </row>
    <row r="1635" spans="1:4" x14ac:dyDescent="0.2">
      <c r="A1635" s="416">
        <v>44655</v>
      </c>
      <c r="B1635" s="403">
        <f t="shared" si="18"/>
        <v>283716.02</v>
      </c>
      <c r="C1635" s="403">
        <f t="shared" si="17"/>
        <v>283516.02</v>
      </c>
      <c r="D1635" s="596">
        <v>200</v>
      </c>
    </row>
    <row r="1636" spans="1:4" x14ac:dyDescent="0.2">
      <c r="A1636" s="416">
        <v>44656</v>
      </c>
      <c r="B1636" s="403">
        <f t="shared" si="18"/>
        <v>300477.89</v>
      </c>
      <c r="C1636" s="403">
        <v>300277.89</v>
      </c>
      <c r="D1636" s="596">
        <v>200</v>
      </c>
    </row>
    <row r="1637" spans="1:4" x14ac:dyDescent="0.2">
      <c r="A1637" s="416">
        <v>44657</v>
      </c>
      <c r="B1637" s="403">
        <f t="shared" si="18"/>
        <v>300477.89</v>
      </c>
      <c r="C1637" s="403">
        <f t="shared" si="17"/>
        <v>300277.89</v>
      </c>
      <c r="D1637" s="596">
        <v>200</v>
      </c>
    </row>
    <row r="1638" spans="1:4" x14ac:dyDescent="0.2">
      <c r="A1638" s="416">
        <v>44658</v>
      </c>
      <c r="B1638" s="403">
        <f t="shared" si="18"/>
        <v>301029.09000000003</v>
      </c>
      <c r="C1638" s="403">
        <v>300829.09000000003</v>
      </c>
      <c r="D1638" s="596">
        <v>200</v>
      </c>
    </row>
    <row r="1639" spans="1:4" x14ac:dyDescent="0.2">
      <c r="A1639" s="416">
        <v>44659</v>
      </c>
      <c r="B1639" s="403">
        <f t="shared" si="18"/>
        <v>296794.44</v>
      </c>
      <c r="C1639" s="403">
        <v>296594.44</v>
      </c>
      <c r="D1639" s="596">
        <v>200</v>
      </c>
    </row>
    <row r="1640" spans="1:4" x14ac:dyDescent="0.2">
      <c r="A1640" s="416">
        <v>44662</v>
      </c>
      <c r="B1640" s="403">
        <f t="shared" si="18"/>
        <v>296989.44</v>
      </c>
      <c r="C1640" s="403">
        <v>296789.44</v>
      </c>
      <c r="D1640" s="596">
        <v>200</v>
      </c>
    </row>
    <row r="1641" spans="1:4" x14ac:dyDescent="0.2">
      <c r="A1641" s="416">
        <v>44663</v>
      </c>
      <c r="B1641" s="403">
        <f t="shared" si="18"/>
        <v>274755.46000000002</v>
      </c>
      <c r="C1641" s="403">
        <v>274555.46000000002</v>
      </c>
      <c r="D1641" s="596">
        <v>200</v>
      </c>
    </row>
    <row r="1642" spans="1:4" x14ac:dyDescent="0.2">
      <c r="A1642" s="416">
        <v>44664</v>
      </c>
      <c r="B1642" s="403">
        <f t="shared" si="18"/>
        <v>274755.46000000002</v>
      </c>
      <c r="C1642" s="403">
        <f t="shared" ref="C1642:C1656" si="19">C1641</f>
        <v>274555.46000000002</v>
      </c>
      <c r="D1642" s="596">
        <v>200</v>
      </c>
    </row>
    <row r="1643" spans="1:4" x14ac:dyDescent="0.2">
      <c r="A1643" s="416">
        <v>44665</v>
      </c>
      <c r="B1643" s="403">
        <f t="shared" si="18"/>
        <v>273817.88</v>
      </c>
      <c r="C1643" s="403">
        <v>273617.88</v>
      </c>
      <c r="D1643" s="596">
        <v>200</v>
      </c>
    </row>
    <row r="1644" spans="1:4" x14ac:dyDescent="0.2">
      <c r="A1644" s="416">
        <v>44666</v>
      </c>
      <c r="B1644" s="403">
        <f t="shared" si="18"/>
        <v>273375.03999999998</v>
      </c>
      <c r="C1644" s="403">
        <v>273175.03999999998</v>
      </c>
      <c r="D1644" s="596">
        <v>200</v>
      </c>
    </row>
    <row r="1645" spans="1:4" x14ac:dyDescent="0.2">
      <c r="A1645" s="416">
        <v>44669</v>
      </c>
      <c r="B1645" s="403">
        <f t="shared" si="18"/>
        <v>306978.36</v>
      </c>
      <c r="C1645" s="403">
        <v>306778.36</v>
      </c>
      <c r="D1645" s="596">
        <v>200</v>
      </c>
    </row>
    <row r="1646" spans="1:4" x14ac:dyDescent="0.2">
      <c r="A1646" s="416">
        <v>44670</v>
      </c>
      <c r="B1646" s="403">
        <f t="shared" si="18"/>
        <v>306978.36</v>
      </c>
      <c r="C1646" s="403">
        <f t="shared" si="19"/>
        <v>306778.36</v>
      </c>
      <c r="D1646" s="596">
        <v>200</v>
      </c>
    </row>
    <row r="1647" spans="1:4" x14ac:dyDescent="0.2">
      <c r="A1647" s="416">
        <v>44671</v>
      </c>
      <c r="B1647" s="403">
        <f t="shared" si="18"/>
        <v>266613.8</v>
      </c>
      <c r="C1647" s="403">
        <v>266413.8</v>
      </c>
      <c r="D1647" s="596">
        <v>200</v>
      </c>
    </row>
    <row r="1648" spans="1:4" x14ac:dyDescent="0.2">
      <c r="A1648" s="416">
        <v>44672</v>
      </c>
      <c r="B1648" s="403">
        <f t="shared" si="18"/>
        <v>271958.33</v>
      </c>
      <c r="C1648" s="403">
        <v>271758.33</v>
      </c>
      <c r="D1648" s="596">
        <v>200</v>
      </c>
    </row>
    <row r="1649" spans="1:4" x14ac:dyDescent="0.2">
      <c r="A1649" s="416">
        <v>44673</v>
      </c>
      <c r="B1649" s="403">
        <f t="shared" ref="B1649:B1655" si="20">C1649+D1649</f>
        <v>271799.48</v>
      </c>
      <c r="C1649" s="403">
        <v>271599.48</v>
      </c>
      <c r="D1649" s="596">
        <v>200</v>
      </c>
    </row>
    <row r="1650" spans="1:4" x14ac:dyDescent="0.2">
      <c r="A1650" s="416">
        <v>44676</v>
      </c>
      <c r="B1650" s="403">
        <f t="shared" si="20"/>
        <v>271799.48</v>
      </c>
      <c r="C1650" s="403">
        <f t="shared" si="19"/>
        <v>271599.48</v>
      </c>
      <c r="D1650" s="596">
        <v>200</v>
      </c>
    </row>
    <row r="1651" spans="1:4" x14ac:dyDescent="0.2">
      <c r="A1651" s="416">
        <v>44677</v>
      </c>
      <c r="B1651" s="403">
        <f t="shared" si="20"/>
        <v>231449.55</v>
      </c>
      <c r="C1651" s="403">
        <v>231249.55</v>
      </c>
      <c r="D1651" s="596">
        <v>200</v>
      </c>
    </row>
    <row r="1652" spans="1:4" x14ac:dyDescent="0.2">
      <c r="A1652" s="416">
        <v>44678</v>
      </c>
      <c r="B1652" s="403">
        <f t="shared" si="20"/>
        <v>255926.54</v>
      </c>
      <c r="C1652" s="403">
        <v>255726.54</v>
      </c>
      <c r="D1652" s="596">
        <v>200</v>
      </c>
    </row>
    <row r="1653" spans="1:4" x14ac:dyDescent="0.2">
      <c r="A1653" s="416">
        <v>44679</v>
      </c>
      <c r="B1653" s="403">
        <f t="shared" si="20"/>
        <v>256457.54</v>
      </c>
      <c r="C1653" s="403">
        <v>256257.54</v>
      </c>
      <c r="D1653" s="596">
        <v>200</v>
      </c>
    </row>
    <row r="1654" spans="1:4" x14ac:dyDescent="0.2">
      <c r="A1654" s="416">
        <v>44680</v>
      </c>
      <c r="B1654" s="403">
        <f t="shared" si="20"/>
        <v>255982.56</v>
      </c>
      <c r="C1654" s="403">
        <v>255782.56</v>
      </c>
      <c r="D1654" s="596">
        <v>200</v>
      </c>
    </row>
    <row r="1655" spans="1:4" x14ac:dyDescent="0.2">
      <c r="A1655" s="416">
        <v>44683</v>
      </c>
      <c r="B1655" s="403">
        <f t="shared" si="20"/>
        <v>255982.56</v>
      </c>
      <c r="C1655" s="403">
        <f t="shared" si="19"/>
        <v>255782.56</v>
      </c>
      <c r="D1655" s="596">
        <v>200</v>
      </c>
    </row>
    <row r="1656" spans="1:4" x14ac:dyDescent="0.2">
      <c r="A1656" s="416">
        <v>44684</v>
      </c>
      <c r="B1656" s="403">
        <f t="shared" ref="B1656:B1659" si="21">C1656+D1656</f>
        <v>255982.56</v>
      </c>
      <c r="C1656" s="403">
        <f t="shared" si="19"/>
        <v>255782.56</v>
      </c>
      <c r="D1656" s="596">
        <v>200</v>
      </c>
    </row>
    <row r="1657" spans="1:4" x14ac:dyDescent="0.2">
      <c r="A1657" s="416">
        <v>44685</v>
      </c>
      <c r="B1657" s="403">
        <f t="shared" si="21"/>
        <v>237408.49</v>
      </c>
      <c r="C1657" s="403">
        <v>237208.49</v>
      </c>
      <c r="D1657" s="596">
        <v>200</v>
      </c>
    </row>
    <row r="1658" spans="1:4" x14ac:dyDescent="0.2">
      <c r="A1658" s="416">
        <v>44686</v>
      </c>
      <c r="B1658" s="403">
        <f t="shared" si="21"/>
        <v>237595.16</v>
      </c>
      <c r="C1658" s="403">
        <v>237395.16</v>
      </c>
      <c r="D1658" s="596">
        <v>200</v>
      </c>
    </row>
    <row r="1659" spans="1:4" x14ac:dyDescent="0.2">
      <c r="A1659" s="416">
        <v>44687</v>
      </c>
      <c r="B1659" s="403">
        <f t="shared" si="21"/>
        <v>237595.16</v>
      </c>
      <c r="C1659" s="403">
        <f>C1658</f>
        <v>237395.16</v>
      </c>
      <c r="D1659" s="596">
        <v>200</v>
      </c>
    </row>
    <row r="1660" spans="1:4" x14ac:dyDescent="0.2">
      <c r="A1660" s="416">
        <v>44690</v>
      </c>
      <c r="B1660" s="403">
        <f t="shared" ref="B1660:B1664" si="22">C1660+D1660</f>
        <v>237595.16</v>
      </c>
      <c r="C1660" s="403">
        <f>C1659</f>
        <v>237395.16</v>
      </c>
      <c r="D1660" s="596">
        <v>200</v>
      </c>
    </row>
    <row r="1661" spans="1:4" x14ac:dyDescent="0.2">
      <c r="A1661" s="416">
        <v>44691</v>
      </c>
      <c r="B1661" s="403">
        <f t="shared" si="22"/>
        <v>198176.08</v>
      </c>
      <c r="C1661" s="403">
        <v>197976.08</v>
      </c>
      <c r="D1661" s="596">
        <v>200</v>
      </c>
    </row>
    <row r="1662" spans="1:4" x14ac:dyDescent="0.2">
      <c r="A1662" s="416">
        <v>44692</v>
      </c>
      <c r="B1662" s="403">
        <f t="shared" si="22"/>
        <v>206509.41</v>
      </c>
      <c r="C1662" s="403">
        <v>206309.41</v>
      </c>
      <c r="D1662" s="596">
        <v>200</v>
      </c>
    </row>
    <row r="1663" spans="1:4" x14ac:dyDescent="0.2">
      <c r="A1663" s="416">
        <v>44693</v>
      </c>
      <c r="B1663" s="403">
        <f t="shared" si="22"/>
        <v>196309.39</v>
      </c>
      <c r="C1663" s="403">
        <v>196109.39</v>
      </c>
      <c r="D1663" s="596">
        <v>200</v>
      </c>
    </row>
    <row r="1664" spans="1:4" x14ac:dyDescent="0.2">
      <c r="A1664" s="416">
        <v>44694</v>
      </c>
      <c r="B1664" s="403">
        <f t="shared" si="22"/>
        <v>217592.12</v>
      </c>
      <c r="C1664" s="403">
        <v>217392.12</v>
      </c>
      <c r="D1664" s="596">
        <v>200</v>
      </c>
    </row>
    <row r="1665" spans="1:4" x14ac:dyDescent="0.2">
      <c r="A1665" s="416">
        <v>44697</v>
      </c>
      <c r="B1665" s="403">
        <f t="shared" ref="B1665:B1801" si="23">C1665+D1665</f>
        <v>217592.12</v>
      </c>
      <c r="C1665" s="403">
        <f t="shared" ref="C1665:C1707" si="24">C1664</f>
        <v>217392.12</v>
      </c>
      <c r="D1665" s="596">
        <v>200</v>
      </c>
    </row>
    <row r="1666" spans="1:4" x14ac:dyDescent="0.2">
      <c r="A1666" s="416">
        <v>44698</v>
      </c>
      <c r="B1666" s="403">
        <f t="shared" si="23"/>
        <v>217592.12</v>
      </c>
      <c r="C1666" s="403">
        <f t="shared" si="24"/>
        <v>217392.12</v>
      </c>
      <c r="D1666" s="596">
        <v>200</v>
      </c>
    </row>
    <row r="1667" spans="1:4" x14ac:dyDescent="0.2">
      <c r="A1667" s="416">
        <v>44699</v>
      </c>
      <c r="B1667" s="403">
        <f t="shared" si="23"/>
        <v>217592.12</v>
      </c>
      <c r="C1667" s="403">
        <f t="shared" si="24"/>
        <v>217392.12</v>
      </c>
      <c r="D1667" s="596">
        <v>200</v>
      </c>
    </row>
    <row r="1668" spans="1:4" x14ac:dyDescent="0.2">
      <c r="A1668" s="416">
        <v>44700</v>
      </c>
      <c r="B1668" s="403">
        <f t="shared" si="23"/>
        <v>221731.08</v>
      </c>
      <c r="C1668" s="403">
        <v>221531.08</v>
      </c>
      <c r="D1668" s="596">
        <v>200</v>
      </c>
    </row>
    <row r="1669" spans="1:4" x14ac:dyDescent="0.2">
      <c r="A1669" s="416">
        <v>44701</v>
      </c>
      <c r="B1669" s="403">
        <f t="shared" si="23"/>
        <v>217798.74</v>
      </c>
      <c r="C1669" s="403">
        <v>217598.74</v>
      </c>
      <c r="D1669" s="596">
        <v>200</v>
      </c>
    </row>
    <row r="1670" spans="1:4" x14ac:dyDescent="0.2">
      <c r="A1670" s="416">
        <v>44704</v>
      </c>
      <c r="B1670" s="403">
        <f t="shared" si="23"/>
        <v>176485.8</v>
      </c>
      <c r="C1670" s="403">
        <v>176285.8</v>
      </c>
      <c r="D1670" s="596">
        <v>200</v>
      </c>
    </row>
    <row r="1671" spans="1:4" x14ac:dyDescent="0.2">
      <c r="A1671" s="416">
        <v>44705</v>
      </c>
      <c r="B1671" s="403">
        <f t="shared" si="23"/>
        <v>176485.8</v>
      </c>
      <c r="C1671" s="403">
        <f t="shared" si="24"/>
        <v>176285.8</v>
      </c>
      <c r="D1671" s="596">
        <v>200</v>
      </c>
    </row>
    <row r="1672" spans="1:4" x14ac:dyDescent="0.2">
      <c r="A1672" s="416">
        <v>44706</v>
      </c>
      <c r="B1672" s="403">
        <f t="shared" si="23"/>
        <v>176485.8</v>
      </c>
      <c r="C1672" s="403">
        <f t="shared" si="24"/>
        <v>176285.8</v>
      </c>
      <c r="D1672" s="596">
        <v>200</v>
      </c>
    </row>
    <row r="1673" spans="1:4" x14ac:dyDescent="0.2">
      <c r="A1673" s="416">
        <v>44707</v>
      </c>
      <c r="B1673" s="403">
        <f t="shared" si="23"/>
        <v>317719.40999999997</v>
      </c>
      <c r="C1673" s="403">
        <v>317519.40999999997</v>
      </c>
      <c r="D1673" s="596">
        <v>200</v>
      </c>
    </row>
    <row r="1674" spans="1:4" x14ac:dyDescent="0.2">
      <c r="A1674" s="416">
        <v>44708</v>
      </c>
      <c r="B1674" s="403">
        <f t="shared" si="23"/>
        <v>317244.43</v>
      </c>
      <c r="C1674" s="403">
        <v>317044.43</v>
      </c>
      <c r="D1674" s="596">
        <v>200</v>
      </c>
    </row>
    <row r="1675" spans="1:4" x14ac:dyDescent="0.2">
      <c r="A1675" s="416">
        <v>44711</v>
      </c>
      <c r="B1675" s="403">
        <f t="shared" si="23"/>
        <v>317244.43</v>
      </c>
      <c r="C1675" s="403">
        <f t="shared" si="24"/>
        <v>317044.43</v>
      </c>
      <c r="D1675" s="596">
        <v>200</v>
      </c>
    </row>
    <row r="1676" spans="1:4" x14ac:dyDescent="0.2">
      <c r="A1676" s="416">
        <v>44712</v>
      </c>
      <c r="B1676" s="403">
        <f t="shared" si="23"/>
        <v>317244.43</v>
      </c>
      <c r="C1676" s="403">
        <f t="shared" si="24"/>
        <v>317044.43</v>
      </c>
      <c r="D1676" s="596">
        <v>200</v>
      </c>
    </row>
    <row r="1677" spans="1:4" x14ac:dyDescent="0.2">
      <c r="A1677" s="416">
        <v>44713</v>
      </c>
      <c r="B1677" s="403">
        <f t="shared" si="23"/>
        <v>317244.43</v>
      </c>
      <c r="C1677" s="403">
        <f t="shared" si="24"/>
        <v>317044.43</v>
      </c>
      <c r="D1677" s="596">
        <v>200</v>
      </c>
    </row>
    <row r="1678" spans="1:4" x14ac:dyDescent="0.2">
      <c r="A1678" s="416">
        <v>44714</v>
      </c>
      <c r="B1678" s="403">
        <f t="shared" si="23"/>
        <v>317244.43</v>
      </c>
      <c r="C1678" s="403">
        <f t="shared" si="24"/>
        <v>317044.43</v>
      </c>
      <c r="D1678" s="596">
        <v>200</v>
      </c>
    </row>
    <row r="1679" spans="1:4" x14ac:dyDescent="0.2">
      <c r="A1679" s="416">
        <v>44715</v>
      </c>
      <c r="B1679" s="403">
        <f t="shared" si="23"/>
        <v>311632.77</v>
      </c>
      <c r="C1679" s="403">
        <v>311432.77</v>
      </c>
      <c r="D1679" s="596">
        <v>200</v>
      </c>
    </row>
    <row r="1680" spans="1:4" x14ac:dyDescent="0.2">
      <c r="A1680" s="416">
        <v>44718</v>
      </c>
      <c r="B1680" s="403">
        <f t="shared" si="23"/>
        <v>311632.77</v>
      </c>
      <c r="C1680" s="403">
        <f t="shared" si="24"/>
        <v>311432.77</v>
      </c>
      <c r="D1680" s="596">
        <v>200</v>
      </c>
    </row>
    <row r="1681" spans="1:4" x14ac:dyDescent="0.2">
      <c r="A1681" s="416">
        <v>44719</v>
      </c>
      <c r="B1681" s="403">
        <f t="shared" si="23"/>
        <v>272576.3</v>
      </c>
      <c r="C1681" s="403">
        <v>272376.3</v>
      </c>
      <c r="D1681" s="596">
        <v>200</v>
      </c>
    </row>
    <row r="1682" spans="1:4" x14ac:dyDescent="0.2">
      <c r="A1682" s="416">
        <v>44720</v>
      </c>
      <c r="B1682" s="403">
        <f t="shared" si="23"/>
        <v>272576.3</v>
      </c>
      <c r="C1682" s="403">
        <f t="shared" si="24"/>
        <v>272376.3</v>
      </c>
      <c r="D1682" s="596">
        <v>200</v>
      </c>
    </row>
    <row r="1683" spans="1:4" x14ac:dyDescent="0.2">
      <c r="A1683" s="416">
        <v>44721</v>
      </c>
      <c r="B1683" s="403">
        <f t="shared" si="23"/>
        <v>262789.33</v>
      </c>
      <c r="C1683" s="403">
        <v>262589.33</v>
      </c>
      <c r="D1683" s="596">
        <v>200</v>
      </c>
    </row>
    <row r="1684" spans="1:4" x14ac:dyDescent="0.2">
      <c r="A1684" s="416">
        <v>44722</v>
      </c>
      <c r="B1684" s="403">
        <f t="shared" si="23"/>
        <v>262314.34999999998</v>
      </c>
      <c r="C1684" s="403">
        <v>262114.35</v>
      </c>
      <c r="D1684" s="596">
        <v>200</v>
      </c>
    </row>
    <row r="1685" spans="1:4" x14ac:dyDescent="0.2">
      <c r="A1685" s="416">
        <v>44725</v>
      </c>
      <c r="B1685" s="403">
        <f t="shared" si="23"/>
        <v>262577.34999999998</v>
      </c>
      <c r="C1685" s="403">
        <v>262377.34999999998</v>
      </c>
      <c r="D1685" s="596">
        <v>200</v>
      </c>
    </row>
    <row r="1686" spans="1:4" x14ac:dyDescent="0.2">
      <c r="A1686" s="416">
        <v>44726</v>
      </c>
      <c r="B1686" s="403">
        <f t="shared" si="23"/>
        <v>262577.34999999998</v>
      </c>
      <c r="C1686" s="403">
        <f t="shared" si="24"/>
        <v>262377.34999999998</v>
      </c>
      <c r="D1686" s="596">
        <v>200</v>
      </c>
    </row>
    <row r="1687" spans="1:4" x14ac:dyDescent="0.2">
      <c r="A1687" s="416">
        <v>44727</v>
      </c>
      <c r="B1687" s="403">
        <f t="shared" si="23"/>
        <v>359115.13</v>
      </c>
      <c r="C1687" s="403">
        <v>358915.13</v>
      </c>
      <c r="D1687" s="596">
        <v>200</v>
      </c>
    </row>
    <row r="1688" spans="1:4" x14ac:dyDescent="0.2">
      <c r="A1688" s="416">
        <v>44728</v>
      </c>
      <c r="B1688" s="403">
        <f t="shared" si="23"/>
        <v>359115.13</v>
      </c>
      <c r="C1688" s="403">
        <f t="shared" si="24"/>
        <v>358915.13</v>
      </c>
      <c r="D1688" s="596">
        <v>200</v>
      </c>
    </row>
    <row r="1689" spans="1:4" x14ac:dyDescent="0.2">
      <c r="A1689" s="416">
        <v>44729</v>
      </c>
      <c r="B1689" s="403">
        <f t="shared" si="23"/>
        <v>359115.13</v>
      </c>
      <c r="C1689" s="403">
        <f t="shared" si="24"/>
        <v>358915.13</v>
      </c>
      <c r="D1689" s="596">
        <v>200</v>
      </c>
    </row>
    <row r="1690" spans="1:4" x14ac:dyDescent="0.2">
      <c r="A1690" s="416">
        <v>44732</v>
      </c>
      <c r="B1690" s="403">
        <f t="shared" si="23"/>
        <v>317912.34000000003</v>
      </c>
      <c r="C1690" s="403">
        <v>317712.34000000003</v>
      </c>
      <c r="D1690" s="596">
        <v>200</v>
      </c>
    </row>
    <row r="1691" spans="1:4" x14ac:dyDescent="0.2">
      <c r="A1691" s="416">
        <v>44733</v>
      </c>
      <c r="B1691" s="403">
        <f t="shared" si="23"/>
        <v>318373.34000000003</v>
      </c>
      <c r="C1691" s="403">
        <v>318173.34000000003</v>
      </c>
      <c r="D1691" s="596">
        <v>200</v>
      </c>
    </row>
    <row r="1692" spans="1:4" x14ac:dyDescent="0.2">
      <c r="A1692" s="416">
        <v>44734</v>
      </c>
      <c r="B1692" s="403">
        <f t="shared" si="23"/>
        <v>319350.08</v>
      </c>
      <c r="C1692" s="403">
        <v>319150.08000000002</v>
      </c>
      <c r="D1692" s="596">
        <v>200</v>
      </c>
    </row>
    <row r="1693" spans="1:4" x14ac:dyDescent="0.2">
      <c r="A1693" s="416">
        <v>44735</v>
      </c>
      <c r="B1693" s="403">
        <f t="shared" si="23"/>
        <v>329131.38</v>
      </c>
      <c r="C1693" s="403">
        <v>328931.38</v>
      </c>
      <c r="D1693" s="596">
        <v>200</v>
      </c>
    </row>
    <row r="1694" spans="1:4" x14ac:dyDescent="0.2">
      <c r="A1694" s="416">
        <v>44736</v>
      </c>
      <c r="B1694" s="403">
        <f t="shared" si="23"/>
        <v>329131.38</v>
      </c>
      <c r="C1694" s="403">
        <f t="shared" si="24"/>
        <v>328931.38</v>
      </c>
      <c r="D1694" s="596">
        <v>200</v>
      </c>
    </row>
    <row r="1695" spans="1:4" x14ac:dyDescent="0.2">
      <c r="A1695" s="416">
        <v>44739</v>
      </c>
      <c r="B1695" s="403">
        <f t="shared" si="23"/>
        <v>329131.38</v>
      </c>
      <c r="C1695" s="403">
        <f t="shared" si="24"/>
        <v>328931.38</v>
      </c>
      <c r="D1695" s="596">
        <v>200</v>
      </c>
    </row>
    <row r="1696" spans="1:4" x14ac:dyDescent="0.2">
      <c r="A1696" s="416">
        <v>44740</v>
      </c>
      <c r="B1696" s="403">
        <f t="shared" si="23"/>
        <v>329131.38</v>
      </c>
      <c r="C1696" s="403">
        <f t="shared" si="24"/>
        <v>328931.38</v>
      </c>
      <c r="D1696" s="596">
        <v>200</v>
      </c>
    </row>
    <row r="1697" spans="1:4" x14ac:dyDescent="0.2">
      <c r="A1697" s="416">
        <v>44741</v>
      </c>
      <c r="B1697" s="403">
        <f t="shared" si="23"/>
        <v>358518.98</v>
      </c>
      <c r="C1697" s="403">
        <v>358318.98</v>
      </c>
      <c r="D1697" s="596">
        <v>200</v>
      </c>
    </row>
    <row r="1698" spans="1:4" x14ac:dyDescent="0.2">
      <c r="A1698" s="416">
        <v>44742</v>
      </c>
      <c r="B1698" s="403">
        <f t="shared" si="23"/>
        <v>388026.98</v>
      </c>
      <c r="C1698" s="403">
        <v>387826.98</v>
      </c>
      <c r="D1698" s="596">
        <v>200</v>
      </c>
    </row>
    <row r="1699" spans="1:4" x14ac:dyDescent="0.2">
      <c r="A1699" s="416">
        <v>44743</v>
      </c>
      <c r="B1699" s="403">
        <f t="shared" si="23"/>
        <v>388026.98</v>
      </c>
      <c r="C1699" s="403">
        <f t="shared" si="24"/>
        <v>387826.98</v>
      </c>
      <c r="D1699" s="596">
        <v>200</v>
      </c>
    </row>
    <row r="1700" spans="1:4" x14ac:dyDescent="0.2">
      <c r="A1700" s="416">
        <v>44746</v>
      </c>
      <c r="B1700" s="403">
        <f t="shared" si="23"/>
        <v>388026.98</v>
      </c>
      <c r="C1700" s="403">
        <f t="shared" si="24"/>
        <v>387826.98</v>
      </c>
      <c r="D1700" s="596">
        <v>200</v>
      </c>
    </row>
    <row r="1701" spans="1:4" x14ac:dyDescent="0.2">
      <c r="A1701" s="416">
        <v>44747</v>
      </c>
      <c r="B1701" s="403">
        <f t="shared" si="23"/>
        <v>347383.35</v>
      </c>
      <c r="C1701" s="403">
        <v>347183.35</v>
      </c>
      <c r="D1701" s="596">
        <v>200</v>
      </c>
    </row>
    <row r="1702" spans="1:4" x14ac:dyDescent="0.2">
      <c r="A1702" s="416">
        <v>44748</v>
      </c>
      <c r="B1702" s="403">
        <f t="shared" si="23"/>
        <v>347507.35</v>
      </c>
      <c r="C1702" s="403">
        <v>347307.35</v>
      </c>
      <c r="D1702" s="596">
        <v>200</v>
      </c>
    </row>
    <row r="1703" spans="1:4" x14ac:dyDescent="0.2">
      <c r="A1703" s="416">
        <v>44749</v>
      </c>
      <c r="B1703" s="403">
        <f t="shared" si="23"/>
        <v>347648.35</v>
      </c>
      <c r="C1703" s="403">
        <v>347448.35</v>
      </c>
      <c r="D1703" s="596">
        <v>200</v>
      </c>
    </row>
    <row r="1704" spans="1:4" x14ac:dyDescent="0.2">
      <c r="A1704" s="416">
        <v>44750</v>
      </c>
      <c r="B1704" s="403">
        <f t="shared" si="23"/>
        <v>347173.37</v>
      </c>
      <c r="C1704" s="403">
        <v>346973.37</v>
      </c>
      <c r="D1704" s="596">
        <v>200</v>
      </c>
    </row>
    <row r="1705" spans="1:4" x14ac:dyDescent="0.2">
      <c r="A1705" s="416">
        <v>44753</v>
      </c>
      <c r="B1705" s="403">
        <f t="shared" si="23"/>
        <v>347173.37</v>
      </c>
      <c r="C1705" s="403">
        <f t="shared" si="24"/>
        <v>346973.37</v>
      </c>
      <c r="D1705" s="596">
        <v>200</v>
      </c>
    </row>
    <row r="1706" spans="1:4" x14ac:dyDescent="0.2">
      <c r="A1706" s="416">
        <v>44754</v>
      </c>
      <c r="B1706" s="403">
        <f t="shared" si="23"/>
        <v>347422.37</v>
      </c>
      <c r="C1706" s="403">
        <v>347222.37</v>
      </c>
      <c r="D1706" s="596">
        <v>200</v>
      </c>
    </row>
    <row r="1707" spans="1:4" x14ac:dyDescent="0.2">
      <c r="A1707" s="416">
        <v>44755</v>
      </c>
      <c r="B1707" s="403">
        <f t="shared" si="23"/>
        <v>347422.37</v>
      </c>
      <c r="C1707" s="403">
        <f t="shared" si="24"/>
        <v>347222.37</v>
      </c>
      <c r="D1707" s="596">
        <v>200</v>
      </c>
    </row>
    <row r="1708" spans="1:4" x14ac:dyDescent="0.2">
      <c r="A1708" s="416">
        <v>44756</v>
      </c>
      <c r="B1708" s="403">
        <f t="shared" si="23"/>
        <v>353674.1</v>
      </c>
      <c r="C1708" s="403">
        <v>353474.1</v>
      </c>
      <c r="D1708" s="596">
        <v>200</v>
      </c>
    </row>
    <row r="1709" spans="1:4" x14ac:dyDescent="0.2">
      <c r="A1709" s="416">
        <v>44757</v>
      </c>
      <c r="B1709" s="403">
        <f t="shared" si="23"/>
        <v>355815.56</v>
      </c>
      <c r="C1709" s="403">
        <v>355615.56</v>
      </c>
      <c r="D1709" s="596">
        <v>200</v>
      </c>
    </row>
    <row r="1710" spans="1:4" x14ac:dyDescent="0.2">
      <c r="A1710" s="416">
        <v>44760</v>
      </c>
      <c r="B1710" s="403">
        <f t="shared" si="23"/>
        <v>319836.78000000003</v>
      </c>
      <c r="C1710" s="403">
        <v>319636.78000000003</v>
      </c>
      <c r="D1710" s="596">
        <v>200</v>
      </c>
    </row>
    <row r="1711" spans="1:4" x14ac:dyDescent="0.2">
      <c r="A1711" s="416">
        <v>44761</v>
      </c>
      <c r="B1711" s="403">
        <f t="shared" si="23"/>
        <v>296807.06</v>
      </c>
      <c r="C1711" s="403">
        <v>296607.06</v>
      </c>
      <c r="D1711" s="596">
        <v>200</v>
      </c>
    </row>
    <row r="1712" spans="1:4" x14ac:dyDescent="0.2">
      <c r="A1712" s="416">
        <v>44762</v>
      </c>
      <c r="B1712" s="403">
        <f t="shared" si="23"/>
        <v>296807.06</v>
      </c>
      <c r="C1712" s="403">
        <f t="shared" ref="C1712:C1774" si="25">C1711</f>
        <v>296607.06</v>
      </c>
      <c r="D1712" s="596">
        <v>200</v>
      </c>
    </row>
    <row r="1713" spans="1:4" x14ac:dyDescent="0.2">
      <c r="A1713" s="416">
        <v>44763</v>
      </c>
      <c r="B1713" s="403">
        <f t="shared" si="23"/>
        <v>291257.96000000002</v>
      </c>
      <c r="C1713" s="403">
        <v>291057.96000000002</v>
      </c>
      <c r="D1713" s="596">
        <v>200</v>
      </c>
    </row>
    <row r="1714" spans="1:4" x14ac:dyDescent="0.2">
      <c r="A1714" s="416">
        <v>44764</v>
      </c>
      <c r="B1714" s="403">
        <f t="shared" si="23"/>
        <v>290782.98</v>
      </c>
      <c r="C1714" s="403">
        <v>290582.98</v>
      </c>
      <c r="D1714" s="596">
        <v>200</v>
      </c>
    </row>
    <row r="1715" spans="1:4" x14ac:dyDescent="0.2">
      <c r="A1715" s="416">
        <v>44767</v>
      </c>
      <c r="B1715" s="403">
        <f t="shared" si="23"/>
        <v>290782.98</v>
      </c>
      <c r="C1715" s="403">
        <f t="shared" si="25"/>
        <v>290582.98</v>
      </c>
      <c r="D1715" s="596">
        <v>200</v>
      </c>
    </row>
    <row r="1716" spans="1:4" x14ac:dyDescent="0.2">
      <c r="A1716" s="416">
        <v>44768</v>
      </c>
      <c r="B1716" s="403">
        <f t="shared" si="23"/>
        <v>290754.14</v>
      </c>
      <c r="C1716" s="403">
        <v>290554.14</v>
      </c>
      <c r="D1716" s="596">
        <v>200</v>
      </c>
    </row>
    <row r="1717" spans="1:4" x14ac:dyDescent="0.2">
      <c r="A1717" s="416">
        <v>44769</v>
      </c>
      <c r="B1717" s="403">
        <f t="shared" si="23"/>
        <v>290450.96000000002</v>
      </c>
      <c r="C1717" s="403">
        <v>290250.96000000002</v>
      </c>
      <c r="D1717" s="596">
        <v>200</v>
      </c>
    </row>
    <row r="1718" spans="1:4" x14ac:dyDescent="0.2">
      <c r="A1718" s="416">
        <v>44770</v>
      </c>
      <c r="B1718" s="403">
        <f t="shared" si="23"/>
        <v>282840.40000000002</v>
      </c>
      <c r="C1718" s="403">
        <v>282640.40000000002</v>
      </c>
      <c r="D1718" s="596">
        <v>200</v>
      </c>
    </row>
    <row r="1719" spans="1:4" x14ac:dyDescent="0.2">
      <c r="A1719" s="416">
        <v>44771</v>
      </c>
      <c r="B1719" s="403">
        <f t="shared" si="23"/>
        <v>318945.52</v>
      </c>
      <c r="C1719" s="403">
        <v>318745.52</v>
      </c>
      <c r="D1719" s="596">
        <v>200</v>
      </c>
    </row>
    <row r="1720" spans="1:4" x14ac:dyDescent="0.2">
      <c r="A1720" s="416">
        <v>44774</v>
      </c>
      <c r="B1720" s="403">
        <f t="shared" si="23"/>
        <v>318945.52</v>
      </c>
      <c r="C1720" s="403">
        <f t="shared" si="25"/>
        <v>318745.52</v>
      </c>
      <c r="D1720" s="596">
        <v>200</v>
      </c>
    </row>
    <row r="1721" spans="1:4" x14ac:dyDescent="0.2">
      <c r="A1721" s="416">
        <v>44775</v>
      </c>
      <c r="B1721" s="403">
        <f t="shared" si="23"/>
        <v>278401.03999999998</v>
      </c>
      <c r="C1721" s="403">
        <v>278201.03999999998</v>
      </c>
      <c r="D1721" s="596">
        <v>200</v>
      </c>
    </row>
    <row r="1722" spans="1:4" x14ac:dyDescent="0.2">
      <c r="A1722" s="416">
        <v>44776</v>
      </c>
      <c r="B1722" s="403">
        <f t="shared" si="23"/>
        <v>277801.03999999998</v>
      </c>
      <c r="C1722" s="403">
        <v>277601.03999999998</v>
      </c>
      <c r="D1722" s="596">
        <v>200</v>
      </c>
    </row>
    <row r="1723" spans="1:4" x14ac:dyDescent="0.2">
      <c r="A1723" s="416">
        <v>44777</v>
      </c>
      <c r="B1723" s="403">
        <f t="shared" si="23"/>
        <v>277801.03999999998</v>
      </c>
      <c r="C1723" s="403">
        <f t="shared" si="25"/>
        <v>277601.03999999998</v>
      </c>
      <c r="D1723" s="596">
        <v>200</v>
      </c>
    </row>
    <row r="1724" spans="1:4" x14ac:dyDescent="0.2">
      <c r="A1724" s="416">
        <v>44778</v>
      </c>
      <c r="B1724" s="403">
        <f t="shared" si="23"/>
        <v>277326.06</v>
      </c>
      <c r="C1724" s="403">
        <v>277126.06</v>
      </c>
      <c r="D1724" s="596">
        <v>200</v>
      </c>
    </row>
    <row r="1725" spans="1:4" x14ac:dyDescent="0.2">
      <c r="A1725" s="416">
        <v>44781</v>
      </c>
      <c r="B1725" s="403">
        <f t="shared" si="23"/>
        <v>277326.06</v>
      </c>
      <c r="C1725" s="403">
        <f t="shared" si="25"/>
        <v>277126.06</v>
      </c>
      <c r="D1725" s="596">
        <v>200</v>
      </c>
    </row>
    <row r="1726" spans="1:4" x14ac:dyDescent="0.2">
      <c r="A1726" s="416">
        <v>44782</v>
      </c>
      <c r="B1726" s="403">
        <f t="shared" si="23"/>
        <v>254730.8</v>
      </c>
      <c r="C1726" s="403">
        <v>254530.8</v>
      </c>
      <c r="D1726" s="596">
        <v>200</v>
      </c>
    </row>
    <row r="1727" spans="1:4" x14ac:dyDescent="0.2">
      <c r="A1727" s="416">
        <v>44783</v>
      </c>
      <c r="B1727" s="403">
        <f t="shared" si="23"/>
        <v>254730.8</v>
      </c>
      <c r="C1727" s="403">
        <f t="shared" si="25"/>
        <v>254530.8</v>
      </c>
      <c r="D1727" s="596">
        <v>200</v>
      </c>
    </row>
    <row r="1728" spans="1:4" x14ac:dyDescent="0.2">
      <c r="A1728" s="416">
        <v>44784</v>
      </c>
      <c r="B1728" s="403">
        <f t="shared" si="23"/>
        <v>277867.62</v>
      </c>
      <c r="C1728" s="403">
        <v>277667.62</v>
      </c>
      <c r="D1728" s="596">
        <v>200</v>
      </c>
    </row>
    <row r="1729" spans="1:4" x14ac:dyDescent="0.2">
      <c r="A1729" s="416">
        <v>44785</v>
      </c>
      <c r="B1729" s="403">
        <f t="shared" si="23"/>
        <v>278679.81</v>
      </c>
      <c r="C1729" s="403">
        <v>278479.81</v>
      </c>
      <c r="D1729" s="596">
        <v>200</v>
      </c>
    </row>
    <row r="1730" spans="1:4" x14ac:dyDescent="0.2">
      <c r="A1730" s="416">
        <v>44788</v>
      </c>
      <c r="B1730" s="403">
        <f t="shared" si="23"/>
        <v>278711.32</v>
      </c>
      <c r="C1730" s="403">
        <v>278511.32</v>
      </c>
      <c r="D1730" s="596">
        <v>200</v>
      </c>
    </row>
    <row r="1731" spans="1:4" x14ac:dyDescent="0.2">
      <c r="A1731" s="416">
        <v>44789</v>
      </c>
      <c r="B1731" s="403">
        <f t="shared" si="23"/>
        <v>238555.14</v>
      </c>
      <c r="C1731" s="403">
        <v>238355.14</v>
      </c>
      <c r="D1731" s="596">
        <v>200</v>
      </c>
    </row>
    <row r="1732" spans="1:4" x14ac:dyDescent="0.2">
      <c r="A1732" s="416">
        <v>44790</v>
      </c>
      <c r="B1732" s="403">
        <f t="shared" si="23"/>
        <v>238555.14</v>
      </c>
      <c r="C1732" s="403">
        <f t="shared" si="25"/>
        <v>238355.14</v>
      </c>
      <c r="D1732" s="596">
        <v>200</v>
      </c>
    </row>
    <row r="1733" spans="1:4" x14ac:dyDescent="0.2">
      <c r="A1733" s="416">
        <v>44791</v>
      </c>
      <c r="B1733" s="403">
        <f t="shared" si="23"/>
        <v>238555.14</v>
      </c>
      <c r="C1733" s="403">
        <f t="shared" si="25"/>
        <v>238355.14</v>
      </c>
      <c r="D1733" s="596">
        <v>200</v>
      </c>
    </row>
    <row r="1734" spans="1:4" x14ac:dyDescent="0.2">
      <c r="A1734" s="416">
        <v>44792</v>
      </c>
      <c r="B1734" s="403">
        <f t="shared" si="23"/>
        <v>227371.3</v>
      </c>
      <c r="C1734" s="403">
        <v>227171.3</v>
      </c>
      <c r="D1734" s="596">
        <v>200</v>
      </c>
    </row>
    <row r="1735" spans="1:4" x14ac:dyDescent="0.2">
      <c r="A1735" s="416">
        <v>44795</v>
      </c>
      <c r="B1735" s="403">
        <f t="shared" si="23"/>
        <v>227907.61</v>
      </c>
      <c r="C1735" s="403">
        <v>227707.61</v>
      </c>
      <c r="D1735" s="596">
        <v>200</v>
      </c>
    </row>
    <row r="1736" spans="1:4" x14ac:dyDescent="0.2">
      <c r="A1736" s="416">
        <v>44796</v>
      </c>
      <c r="B1736" s="403">
        <f t="shared" si="23"/>
        <v>227907.61</v>
      </c>
      <c r="C1736" s="403">
        <f t="shared" si="25"/>
        <v>227707.61</v>
      </c>
      <c r="D1736" s="596">
        <v>200</v>
      </c>
    </row>
    <row r="1737" spans="1:4" x14ac:dyDescent="0.2">
      <c r="A1737" s="416">
        <v>44797</v>
      </c>
      <c r="B1737" s="403">
        <f t="shared" si="23"/>
        <v>250036.67</v>
      </c>
      <c r="C1737" s="403">
        <v>249836.67</v>
      </c>
      <c r="D1737" s="596">
        <v>200</v>
      </c>
    </row>
    <row r="1738" spans="1:4" x14ac:dyDescent="0.2">
      <c r="A1738" s="416">
        <v>44798</v>
      </c>
      <c r="B1738" s="403">
        <f t="shared" si="23"/>
        <v>255964.71</v>
      </c>
      <c r="C1738" s="403">
        <v>255764.71</v>
      </c>
      <c r="D1738" s="596">
        <v>200</v>
      </c>
    </row>
    <row r="1739" spans="1:4" x14ac:dyDescent="0.2">
      <c r="A1739" s="416">
        <v>44799</v>
      </c>
      <c r="B1739" s="403">
        <f t="shared" si="23"/>
        <v>315493.2</v>
      </c>
      <c r="C1739" s="403">
        <v>315293.2</v>
      </c>
      <c r="D1739" s="596">
        <v>200</v>
      </c>
    </row>
    <row r="1740" spans="1:4" x14ac:dyDescent="0.2">
      <c r="A1740" s="416">
        <v>44802</v>
      </c>
      <c r="B1740" s="403">
        <f t="shared" si="23"/>
        <v>315493.2</v>
      </c>
      <c r="C1740" s="403">
        <f t="shared" si="25"/>
        <v>315293.2</v>
      </c>
      <c r="D1740" s="596">
        <v>200</v>
      </c>
    </row>
    <row r="1741" spans="1:4" x14ac:dyDescent="0.2">
      <c r="A1741" s="416">
        <v>44803</v>
      </c>
      <c r="B1741" s="403">
        <f t="shared" si="23"/>
        <v>332334.94</v>
      </c>
      <c r="C1741" s="403">
        <v>332134.94</v>
      </c>
      <c r="D1741" s="596">
        <v>200</v>
      </c>
    </row>
    <row r="1742" spans="1:4" x14ac:dyDescent="0.2">
      <c r="A1742" s="416">
        <v>44804</v>
      </c>
      <c r="B1742" s="403">
        <f t="shared" si="23"/>
        <v>332334.94</v>
      </c>
      <c r="C1742" s="403">
        <f t="shared" si="25"/>
        <v>332134.94</v>
      </c>
      <c r="D1742" s="596">
        <v>200</v>
      </c>
    </row>
    <row r="1743" spans="1:4" x14ac:dyDescent="0.2">
      <c r="A1743" s="416">
        <v>44805</v>
      </c>
      <c r="B1743" s="403">
        <f t="shared" si="23"/>
        <v>370869.56</v>
      </c>
      <c r="C1743" s="403">
        <v>370669.56</v>
      </c>
      <c r="D1743" s="596">
        <v>200</v>
      </c>
    </row>
    <row r="1744" spans="1:4" x14ac:dyDescent="0.2">
      <c r="A1744" s="416">
        <v>44806</v>
      </c>
      <c r="B1744" s="403">
        <f t="shared" si="23"/>
        <v>370394.58</v>
      </c>
      <c r="C1744" s="403">
        <v>370194.58</v>
      </c>
      <c r="D1744" s="596">
        <v>200</v>
      </c>
    </row>
    <row r="1745" spans="1:4" x14ac:dyDescent="0.2">
      <c r="A1745" s="416">
        <v>44809</v>
      </c>
      <c r="B1745" s="403">
        <f t="shared" si="23"/>
        <v>370394.58</v>
      </c>
      <c r="C1745" s="403">
        <f t="shared" si="25"/>
        <v>370194.58</v>
      </c>
      <c r="D1745" s="596">
        <v>200</v>
      </c>
    </row>
    <row r="1746" spans="1:4" x14ac:dyDescent="0.2">
      <c r="A1746" s="416">
        <v>44810</v>
      </c>
      <c r="B1746" s="403">
        <f t="shared" si="23"/>
        <v>346842.59</v>
      </c>
      <c r="C1746" s="403">
        <v>346642.59</v>
      </c>
      <c r="D1746" s="596">
        <v>200</v>
      </c>
    </row>
    <row r="1747" spans="1:4" x14ac:dyDescent="0.2">
      <c r="A1747" s="416">
        <v>44811</v>
      </c>
      <c r="B1747" s="403">
        <f t="shared" si="23"/>
        <v>346842.59</v>
      </c>
      <c r="C1747" s="403">
        <f t="shared" si="25"/>
        <v>346642.59</v>
      </c>
      <c r="D1747" s="596">
        <v>200</v>
      </c>
    </row>
    <row r="1748" spans="1:4" x14ac:dyDescent="0.2">
      <c r="A1748" s="416">
        <v>44812</v>
      </c>
      <c r="B1748" s="403">
        <f t="shared" si="23"/>
        <v>346842.59</v>
      </c>
      <c r="C1748" s="403">
        <f t="shared" si="25"/>
        <v>346642.59</v>
      </c>
      <c r="D1748" s="596">
        <v>200</v>
      </c>
    </row>
    <row r="1749" spans="1:4" x14ac:dyDescent="0.2">
      <c r="A1749" s="416">
        <v>44813</v>
      </c>
      <c r="B1749" s="403">
        <f t="shared" si="23"/>
        <v>347076.59</v>
      </c>
      <c r="C1749" s="403">
        <v>346876.59</v>
      </c>
      <c r="D1749" s="596">
        <v>200</v>
      </c>
    </row>
    <row r="1750" spans="1:4" x14ac:dyDescent="0.2">
      <c r="A1750" s="416">
        <v>44816</v>
      </c>
      <c r="B1750" s="403">
        <f t="shared" si="23"/>
        <v>308665.48</v>
      </c>
      <c r="C1750" s="403">
        <v>308465.48</v>
      </c>
      <c r="D1750" s="596">
        <v>200</v>
      </c>
    </row>
    <row r="1751" spans="1:4" x14ac:dyDescent="0.2">
      <c r="A1751" s="416">
        <v>44817</v>
      </c>
      <c r="B1751" s="403">
        <f t="shared" si="23"/>
        <v>308665.48</v>
      </c>
      <c r="C1751" s="403">
        <f t="shared" si="25"/>
        <v>308465.48</v>
      </c>
      <c r="D1751" s="596">
        <v>200</v>
      </c>
    </row>
    <row r="1752" spans="1:4" x14ac:dyDescent="0.2">
      <c r="A1752" s="416">
        <v>44818</v>
      </c>
      <c r="B1752" s="403">
        <f t="shared" si="23"/>
        <v>320782.46999999997</v>
      </c>
      <c r="C1752" s="403">
        <v>320582.46999999997</v>
      </c>
      <c r="D1752" s="596">
        <v>200</v>
      </c>
    </row>
    <row r="1753" spans="1:4" x14ac:dyDescent="0.2">
      <c r="A1753" s="416">
        <v>44819</v>
      </c>
      <c r="B1753" s="403">
        <f t="shared" si="23"/>
        <v>317911.17</v>
      </c>
      <c r="C1753" s="403">
        <v>317711.17</v>
      </c>
      <c r="D1753" s="596">
        <v>200</v>
      </c>
    </row>
    <row r="1754" spans="1:4" x14ac:dyDescent="0.2">
      <c r="A1754" s="416">
        <v>44820</v>
      </c>
      <c r="B1754" s="403">
        <f t="shared" si="23"/>
        <v>317436.19</v>
      </c>
      <c r="C1754" s="403">
        <v>317236.19</v>
      </c>
      <c r="D1754" s="596">
        <v>200</v>
      </c>
    </row>
    <row r="1755" spans="1:4" x14ac:dyDescent="0.2">
      <c r="A1755" s="416">
        <v>44823</v>
      </c>
      <c r="B1755" s="403">
        <f t="shared" si="23"/>
        <v>317436.19</v>
      </c>
      <c r="C1755" s="403">
        <f t="shared" si="25"/>
        <v>317236.19</v>
      </c>
      <c r="D1755" s="596">
        <v>200</v>
      </c>
    </row>
    <row r="1756" spans="1:4" x14ac:dyDescent="0.2">
      <c r="A1756" s="416">
        <v>44824</v>
      </c>
      <c r="B1756" s="403">
        <f t="shared" si="23"/>
        <v>428386.24</v>
      </c>
      <c r="C1756" s="403">
        <v>428186.24</v>
      </c>
      <c r="D1756" s="596">
        <v>200</v>
      </c>
    </row>
    <row r="1757" spans="1:4" x14ac:dyDescent="0.2">
      <c r="A1757" s="416">
        <v>44825</v>
      </c>
      <c r="B1757" s="403">
        <f t="shared" si="23"/>
        <v>428386.24</v>
      </c>
      <c r="C1757" s="403">
        <f t="shared" si="25"/>
        <v>428186.24</v>
      </c>
      <c r="D1757" s="596">
        <v>200</v>
      </c>
    </row>
    <row r="1758" spans="1:4" x14ac:dyDescent="0.2">
      <c r="A1758" s="416">
        <v>44826</v>
      </c>
      <c r="B1758" s="403">
        <f t="shared" si="23"/>
        <v>425851.86</v>
      </c>
      <c r="C1758" s="403">
        <v>425651.86</v>
      </c>
      <c r="D1758" s="596">
        <v>200</v>
      </c>
    </row>
    <row r="1759" spans="1:4" x14ac:dyDescent="0.2">
      <c r="A1759" s="416">
        <v>44827</v>
      </c>
      <c r="B1759" s="403">
        <f t="shared" si="23"/>
        <v>453679.91</v>
      </c>
      <c r="C1759" s="403">
        <v>453479.91</v>
      </c>
      <c r="D1759" s="596">
        <v>200</v>
      </c>
    </row>
    <row r="1760" spans="1:4" x14ac:dyDescent="0.2">
      <c r="A1760" s="416">
        <v>44830</v>
      </c>
      <c r="B1760" s="403">
        <f t="shared" si="23"/>
        <v>412431.05</v>
      </c>
      <c r="C1760" s="403">
        <v>412231.05</v>
      </c>
      <c r="D1760" s="596">
        <v>200</v>
      </c>
    </row>
    <row r="1761" spans="1:4" x14ac:dyDescent="0.2">
      <c r="A1761" s="416">
        <v>44831</v>
      </c>
      <c r="B1761" s="403">
        <f t="shared" si="23"/>
        <v>412402.21</v>
      </c>
      <c r="C1761" s="403">
        <v>412202.21</v>
      </c>
      <c r="D1761" s="596">
        <v>200</v>
      </c>
    </row>
    <row r="1762" spans="1:4" x14ac:dyDescent="0.2">
      <c r="A1762" s="416">
        <v>44832</v>
      </c>
      <c r="B1762" s="403">
        <f t="shared" si="23"/>
        <v>417372.63</v>
      </c>
      <c r="C1762" s="403">
        <v>417172.63</v>
      </c>
      <c r="D1762" s="596">
        <v>200</v>
      </c>
    </row>
    <row r="1763" spans="1:4" x14ac:dyDescent="0.2">
      <c r="A1763" s="416">
        <v>44833</v>
      </c>
      <c r="B1763" s="403">
        <f t="shared" si="23"/>
        <v>415449.23</v>
      </c>
      <c r="C1763" s="403">
        <v>415249.23</v>
      </c>
      <c r="D1763" s="596">
        <v>200</v>
      </c>
    </row>
    <row r="1764" spans="1:4" x14ac:dyDescent="0.2">
      <c r="A1764" s="416">
        <v>44834</v>
      </c>
      <c r="B1764" s="403">
        <f t="shared" si="23"/>
        <v>435708</v>
      </c>
      <c r="C1764" s="403">
        <v>435508</v>
      </c>
      <c r="D1764" s="596">
        <v>200</v>
      </c>
    </row>
    <row r="1765" spans="1:4" x14ac:dyDescent="0.2">
      <c r="A1765" s="416">
        <v>44835</v>
      </c>
      <c r="B1765" s="403">
        <f t="shared" si="23"/>
        <v>435708</v>
      </c>
      <c r="C1765" s="403">
        <f t="shared" si="25"/>
        <v>435508</v>
      </c>
      <c r="D1765" s="596">
        <v>200</v>
      </c>
    </row>
    <row r="1766" spans="1:4" x14ac:dyDescent="0.2">
      <c r="A1766" s="416">
        <v>44836</v>
      </c>
      <c r="B1766" s="403">
        <f t="shared" si="23"/>
        <v>435708</v>
      </c>
      <c r="C1766" s="403">
        <f t="shared" si="25"/>
        <v>435508</v>
      </c>
      <c r="D1766" s="596">
        <v>200</v>
      </c>
    </row>
    <row r="1767" spans="1:4" x14ac:dyDescent="0.2">
      <c r="A1767" s="416">
        <v>44837</v>
      </c>
      <c r="B1767" s="403">
        <f t="shared" si="23"/>
        <v>435708</v>
      </c>
      <c r="C1767" s="403">
        <f t="shared" si="25"/>
        <v>435508</v>
      </c>
      <c r="D1767" s="596">
        <v>200</v>
      </c>
    </row>
    <row r="1768" spans="1:4" x14ac:dyDescent="0.2">
      <c r="A1768" s="416">
        <v>44838</v>
      </c>
      <c r="B1768" s="403">
        <f t="shared" si="23"/>
        <v>435708</v>
      </c>
      <c r="C1768" s="403">
        <f t="shared" si="25"/>
        <v>435508</v>
      </c>
      <c r="D1768" s="596">
        <v>200</v>
      </c>
    </row>
    <row r="1769" spans="1:4" x14ac:dyDescent="0.2">
      <c r="A1769" s="416">
        <v>44839</v>
      </c>
      <c r="B1769" s="403">
        <f t="shared" si="23"/>
        <v>436040</v>
      </c>
      <c r="C1769" s="403">
        <v>435840</v>
      </c>
      <c r="D1769" s="596">
        <v>200</v>
      </c>
    </row>
    <row r="1770" spans="1:4" x14ac:dyDescent="0.2">
      <c r="A1770" s="416">
        <v>44840</v>
      </c>
      <c r="B1770" s="403">
        <f t="shared" si="23"/>
        <v>427559.36</v>
      </c>
      <c r="C1770" s="403">
        <v>427359.36</v>
      </c>
      <c r="D1770" s="596">
        <v>200</v>
      </c>
    </row>
    <row r="1771" spans="1:4" x14ac:dyDescent="0.2">
      <c r="A1771" s="416">
        <v>44841</v>
      </c>
      <c r="B1771" s="403">
        <f t="shared" si="23"/>
        <v>427559.36</v>
      </c>
      <c r="C1771" s="403">
        <f t="shared" si="25"/>
        <v>427359.36</v>
      </c>
      <c r="D1771" s="596">
        <v>200</v>
      </c>
    </row>
    <row r="1772" spans="1:4" x14ac:dyDescent="0.2">
      <c r="A1772" s="416">
        <v>44844</v>
      </c>
      <c r="B1772" s="403">
        <f t="shared" si="23"/>
        <v>427559.36</v>
      </c>
      <c r="C1772" s="403">
        <f t="shared" si="25"/>
        <v>427359.36</v>
      </c>
      <c r="D1772" s="596">
        <v>200</v>
      </c>
    </row>
    <row r="1773" spans="1:4" x14ac:dyDescent="0.2">
      <c r="A1773" s="416">
        <v>44845</v>
      </c>
      <c r="B1773" s="403">
        <f t="shared" si="23"/>
        <v>388161.54</v>
      </c>
      <c r="C1773" s="403">
        <v>387961.54</v>
      </c>
      <c r="D1773" s="596">
        <v>200</v>
      </c>
    </row>
    <row r="1774" spans="1:4" x14ac:dyDescent="0.2">
      <c r="A1774" s="416">
        <v>44846</v>
      </c>
      <c r="B1774" s="403">
        <f t="shared" si="23"/>
        <v>388161.54</v>
      </c>
      <c r="C1774" s="403">
        <f t="shared" si="25"/>
        <v>387961.54</v>
      </c>
      <c r="D1774" s="596">
        <v>200</v>
      </c>
    </row>
    <row r="1775" spans="1:4" x14ac:dyDescent="0.2">
      <c r="A1775" s="416">
        <v>44847</v>
      </c>
      <c r="B1775" s="403">
        <f t="shared" si="23"/>
        <v>381514.53</v>
      </c>
      <c r="C1775" s="403">
        <v>381314.53</v>
      </c>
      <c r="D1775" s="596">
        <v>200</v>
      </c>
    </row>
    <row r="1776" spans="1:4" x14ac:dyDescent="0.2">
      <c r="A1776" s="416">
        <v>44848</v>
      </c>
      <c r="B1776" s="403">
        <f t="shared" si="23"/>
        <v>389507.01</v>
      </c>
      <c r="C1776" s="403">
        <v>389307.01</v>
      </c>
      <c r="D1776" s="596">
        <v>200</v>
      </c>
    </row>
    <row r="1777" spans="1:4" x14ac:dyDescent="0.2">
      <c r="A1777" s="416">
        <v>44849</v>
      </c>
      <c r="B1777" s="403">
        <f t="shared" si="23"/>
        <v>389507.01</v>
      </c>
      <c r="C1777" s="403">
        <f t="shared" ref="C1777:C1840" si="26">C1776</f>
        <v>389307.01</v>
      </c>
      <c r="D1777" s="596">
        <v>200</v>
      </c>
    </row>
    <row r="1778" spans="1:4" x14ac:dyDescent="0.2">
      <c r="A1778" s="416">
        <v>44850</v>
      </c>
      <c r="B1778" s="403">
        <f t="shared" si="23"/>
        <v>389507.01</v>
      </c>
      <c r="C1778" s="403">
        <f t="shared" si="26"/>
        <v>389307.01</v>
      </c>
      <c r="D1778" s="596">
        <v>200</v>
      </c>
    </row>
    <row r="1779" spans="1:4" x14ac:dyDescent="0.2">
      <c r="A1779" s="416">
        <v>44851</v>
      </c>
      <c r="B1779" s="403">
        <f t="shared" si="23"/>
        <v>414035.71</v>
      </c>
      <c r="C1779" s="403">
        <v>413835.71</v>
      </c>
      <c r="D1779" s="596">
        <v>200</v>
      </c>
    </row>
    <row r="1780" spans="1:4" x14ac:dyDescent="0.2">
      <c r="A1780" s="416">
        <v>44852</v>
      </c>
      <c r="B1780" s="403">
        <f t="shared" si="23"/>
        <v>413985.71</v>
      </c>
      <c r="C1780" s="403">
        <v>413785.71</v>
      </c>
      <c r="D1780" s="596">
        <v>200</v>
      </c>
    </row>
    <row r="1781" spans="1:4" x14ac:dyDescent="0.2">
      <c r="A1781" s="416">
        <v>44853</v>
      </c>
      <c r="B1781" s="403">
        <f t="shared" si="23"/>
        <v>413985.71</v>
      </c>
      <c r="C1781" s="403">
        <f t="shared" si="26"/>
        <v>413785.71</v>
      </c>
      <c r="D1781" s="596">
        <v>200</v>
      </c>
    </row>
    <row r="1782" spans="1:4" x14ac:dyDescent="0.2">
      <c r="A1782" s="416">
        <v>44854</v>
      </c>
      <c r="B1782" s="403">
        <f t="shared" si="23"/>
        <v>411319.14</v>
      </c>
      <c r="C1782" s="403">
        <v>411119.14</v>
      </c>
      <c r="D1782" s="596">
        <v>200</v>
      </c>
    </row>
    <row r="1783" spans="1:4" x14ac:dyDescent="0.2">
      <c r="A1783" s="416">
        <v>44855</v>
      </c>
      <c r="B1783" s="403">
        <f t="shared" si="23"/>
        <v>411160.29</v>
      </c>
      <c r="C1783" s="403">
        <v>410960.29</v>
      </c>
      <c r="D1783" s="596">
        <v>200</v>
      </c>
    </row>
    <row r="1784" spans="1:4" x14ac:dyDescent="0.2">
      <c r="A1784" s="416">
        <v>44856</v>
      </c>
      <c r="B1784" s="403">
        <f t="shared" si="23"/>
        <v>411160.29</v>
      </c>
      <c r="C1784" s="403">
        <f t="shared" si="26"/>
        <v>410960.29</v>
      </c>
      <c r="D1784" s="596">
        <v>200</v>
      </c>
    </row>
    <row r="1785" spans="1:4" x14ac:dyDescent="0.2">
      <c r="A1785" s="416">
        <v>44857</v>
      </c>
      <c r="B1785" s="403">
        <f t="shared" si="23"/>
        <v>411160.29</v>
      </c>
      <c r="C1785" s="403">
        <f t="shared" si="26"/>
        <v>410960.29</v>
      </c>
      <c r="D1785" s="596">
        <v>200</v>
      </c>
    </row>
    <row r="1786" spans="1:4" x14ac:dyDescent="0.2">
      <c r="A1786" s="416">
        <v>44858</v>
      </c>
      <c r="B1786" s="403">
        <f t="shared" si="23"/>
        <v>372476.51</v>
      </c>
      <c r="C1786" s="403">
        <v>372276.51</v>
      </c>
      <c r="D1786" s="596">
        <v>200</v>
      </c>
    </row>
    <row r="1787" spans="1:4" x14ac:dyDescent="0.2">
      <c r="A1787" s="416">
        <v>44859</v>
      </c>
      <c r="B1787" s="403">
        <f t="shared" si="23"/>
        <v>376660.01</v>
      </c>
      <c r="C1787" s="403">
        <v>376460.01</v>
      </c>
      <c r="D1787" s="596">
        <v>200</v>
      </c>
    </row>
    <row r="1788" spans="1:4" x14ac:dyDescent="0.2">
      <c r="A1788" s="416">
        <v>44860</v>
      </c>
      <c r="B1788" s="403">
        <f t="shared" si="23"/>
        <v>397613.66</v>
      </c>
      <c r="C1788" s="403">
        <v>397413.66</v>
      </c>
      <c r="D1788" s="596">
        <v>200</v>
      </c>
    </row>
    <row r="1789" spans="1:4" x14ac:dyDescent="0.2">
      <c r="A1789" s="416">
        <v>44861</v>
      </c>
      <c r="B1789" s="403">
        <f t="shared" si="23"/>
        <v>387878.55</v>
      </c>
      <c r="C1789" s="403">
        <v>387678.55</v>
      </c>
      <c r="D1789" s="596">
        <v>200</v>
      </c>
    </row>
    <row r="1790" spans="1:4" x14ac:dyDescent="0.2">
      <c r="A1790" s="416">
        <v>44862</v>
      </c>
      <c r="B1790" s="403">
        <f t="shared" si="23"/>
        <v>387403.57</v>
      </c>
      <c r="C1790" s="403">
        <v>387203.57</v>
      </c>
      <c r="D1790" s="596">
        <v>200</v>
      </c>
    </row>
    <row r="1791" spans="1:4" x14ac:dyDescent="0.2">
      <c r="A1791" s="416">
        <v>44863</v>
      </c>
      <c r="B1791" s="403">
        <f t="shared" si="23"/>
        <v>387403.57</v>
      </c>
      <c r="C1791" s="403">
        <f t="shared" si="26"/>
        <v>387203.57</v>
      </c>
      <c r="D1791" s="596">
        <v>200</v>
      </c>
    </row>
    <row r="1792" spans="1:4" x14ac:dyDescent="0.2">
      <c r="A1792" s="416">
        <v>44864</v>
      </c>
      <c r="B1792" s="403">
        <f t="shared" si="23"/>
        <v>387403.57</v>
      </c>
      <c r="C1792" s="403">
        <f t="shared" si="26"/>
        <v>387203.57</v>
      </c>
      <c r="D1792" s="596">
        <v>200</v>
      </c>
    </row>
    <row r="1793" spans="1:4" x14ac:dyDescent="0.2">
      <c r="A1793" s="416">
        <v>44865</v>
      </c>
      <c r="B1793" s="403">
        <f t="shared" si="23"/>
        <v>417270.82</v>
      </c>
      <c r="C1793" s="403">
        <v>417070.82</v>
      </c>
      <c r="D1793" s="596">
        <v>200</v>
      </c>
    </row>
    <row r="1794" spans="1:4" x14ac:dyDescent="0.2">
      <c r="A1794" s="416">
        <v>44866</v>
      </c>
      <c r="B1794" s="403">
        <f t="shared" si="23"/>
        <v>417270.82</v>
      </c>
      <c r="C1794" s="403">
        <f t="shared" si="26"/>
        <v>417070.82</v>
      </c>
      <c r="D1794" s="596">
        <v>200</v>
      </c>
    </row>
    <row r="1795" spans="1:4" x14ac:dyDescent="0.2">
      <c r="A1795" s="416">
        <v>44867</v>
      </c>
      <c r="B1795" s="403">
        <f t="shared" si="23"/>
        <v>417270.82</v>
      </c>
      <c r="C1795" s="403">
        <f t="shared" si="26"/>
        <v>417070.82</v>
      </c>
      <c r="D1795" s="596">
        <v>200</v>
      </c>
    </row>
    <row r="1796" spans="1:4" x14ac:dyDescent="0.2">
      <c r="A1796" s="416">
        <v>44868</v>
      </c>
      <c r="B1796" s="403">
        <f t="shared" si="23"/>
        <v>411865.95</v>
      </c>
      <c r="C1796" s="403">
        <v>411665.95</v>
      </c>
      <c r="D1796" s="596">
        <v>200</v>
      </c>
    </row>
    <row r="1797" spans="1:4" x14ac:dyDescent="0.2">
      <c r="A1797" s="416">
        <v>44869</v>
      </c>
      <c r="B1797" s="403">
        <f t="shared" si="23"/>
        <v>411865.95</v>
      </c>
      <c r="C1797" s="403">
        <f t="shared" si="26"/>
        <v>411665.95</v>
      </c>
      <c r="D1797" s="596">
        <v>200</v>
      </c>
    </row>
    <row r="1798" spans="1:4" x14ac:dyDescent="0.2">
      <c r="A1798" s="416">
        <v>44870</v>
      </c>
      <c r="B1798" s="403">
        <f t="shared" si="23"/>
        <v>411865.95</v>
      </c>
      <c r="C1798" s="403">
        <f t="shared" si="26"/>
        <v>411665.95</v>
      </c>
      <c r="D1798" s="596">
        <v>200</v>
      </c>
    </row>
    <row r="1799" spans="1:4" x14ac:dyDescent="0.2">
      <c r="A1799" s="416">
        <v>44871</v>
      </c>
      <c r="B1799" s="403">
        <f t="shared" si="23"/>
        <v>411865.95</v>
      </c>
      <c r="C1799" s="403">
        <f t="shared" si="26"/>
        <v>411665.95</v>
      </c>
      <c r="D1799" s="596">
        <v>200</v>
      </c>
    </row>
    <row r="1800" spans="1:4" x14ac:dyDescent="0.2">
      <c r="A1800" s="416">
        <v>44872</v>
      </c>
      <c r="B1800" s="403">
        <f t="shared" si="23"/>
        <v>368529.24</v>
      </c>
      <c r="C1800" s="403">
        <v>368329.24</v>
      </c>
      <c r="D1800" s="596">
        <v>200</v>
      </c>
    </row>
    <row r="1801" spans="1:4" x14ac:dyDescent="0.2">
      <c r="A1801" s="416">
        <v>44873</v>
      </c>
      <c r="B1801" s="403">
        <f t="shared" si="23"/>
        <v>369146.24</v>
      </c>
      <c r="C1801" s="403">
        <v>368946.24</v>
      </c>
      <c r="D1801" s="596">
        <v>200</v>
      </c>
    </row>
    <row r="1802" spans="1:4" x14ac:dyDescent="0.2">
      <c r="A1802" s="416">
        <v>44874</v>
      </c>
      <c r="B1802" s="403">
        <f t="shared" ref="B1802:B1865" si="27">C1802+D1802</f>
        <v>369146.24</v>
      </c>
      <c r="C1802" s="403">
        <f t="shared" si="26"/>
        <v>368946.24</v>
      </c>
      <c r="D1802" s="596">
        <v>200</v>
      </c>
    </row>
    <row r="1803" spans="1:4" x14ac:dyDescent="0.2">
      <c r="A1803" s="416">
        <v>44875</v>
      </c>
      <c r="B1803" s="403">
        <f t="shared" si="27"/>
        <v>423875.79</v>
      </c>
      <c r="C1803" s="403">
        <v>423675.79</v>
      </c>
      <c r="D1803" s="596">
        <v>200</v>
      </c>
    </row>
    <row r="1804" spans="1:4" x14ac:dyDescent="0.2">
      <c r="A1804" s="416">
        <v>44876</v>
      </c>
      <c r="B1804" s="403">
        <f t="shared" si="27"/>
        <v>423875.79</v>
      </c>
      <c r="C1804" s="403">
        <f t="shared" si="26"/>
        <v>423675.79</v>
      </c>
      <c r="D1804" s="596">
        <v>200</v>
      </c>
    </row>
    <row r="1805" spans="1:4" x14ac:dyDescent="0.2">
      <c r="A1805" s="416">
        <v>44879</v>
      </c>
      <c r="B1805" s="403">
        <f t="shared" si="27"/>
        <v>423400.81</v>
      </c>
      <c r="C1805" s="403">
        <v>423200.81</v>
      </c>
      <c r="D1805" s="596">
        <v>200</v>
      </c>
    </row>
    <row r="1806" spans="1:4" x14ac:dyDescent="0.2">
      <c r="A1806" s="416">
        <v>44880</v>
      </c>
      <c r="B1806" s="403">
        <f t="shared" si="27"/>
        <v>423210.99</v>
      </c>
      <c r="C1806" s="403">
        <v>423010.99</v>
      </c>
      <c r="D1806" s="596">
        <v>200</v>
      </c>
    </row>
    <row r="1807" spans="1:4" x14ac:dyDescent="0.2">
      <c r="A1807" s="416">
        <v>44881</v>
      </c>
      <c r="B1807" s="403">
        <f t="shared" si="27"/>
        <v>473210.99</v>
      </c>
      <c r="C1807" s="403">
        <v>473010.99</v>
      </c>
      <c r="D1807" s="596">
        <v>200</v>
      </c>
    </row>
    <row r="1808" spans="1:4" x14ac:dyDescent="0.2">
      <c r="A1808" s="416">
        <v>44882</v>
      </c>
      <c r="B1808" s="403">
        <f t="shared" si="27"/>
        <v>470084.64</v>
      </c>
      <c r="C1808" s="403">
        <v>469884.64</v>
      </c>
      <c r="D1808" s="596">
        <v>200</v>
      </c>
    </row>
    <row r="1809" spans="1:4" x14ac:dyDescent="0.2">
      <c r="A1809" s="416">
        <v>44883</v>
      </c>
      <c r="B1809" s="403">
        <f t="shared" si="27"/>
        <v>470084.64</v>
      </c>
      <c r="C1809" s="403">
        <f t="shared" si="26"/>
        <v>469884.64</v>
      </c>
      <c r="D1809" s="596">
        <v>200</v>
      </c>
    </row>
    <row r="1810" spans="1:4" x14ac:dyDescent="0.2">
      <c r="A1810" s="416">
        <v>44886</v>
      </c>
      <c r="B1810" s="403">
        <f t="shared" si="27"/>
        <v>424767.46</v>
      </c>
      <c r="C1810" s="403">
        <v>424567.46</v>
      </c>
      <c r="D1810" s="596">
        <v>200</v>
      </c>
    </row>
    <row r="1811" spans="1:4" x14ac:dyDescent="0.2">
      <c r="A1811" s="416">
        <v>44887</v>
      </c>
      <c r="B1811" s="403">
        <f t="shared" si="27"/>
        <v>424767.46</v>
      </c>
      <c r="C1811" s="403">
        <f t="shared" si="26"/>
        <v>424567.46</v>
      </c>
      <c r="D1811" s="596">
        <v>200</v>
      </c>
    </row>
    <row r="1812" spans="1:4" x14ac:dyDescent="0.2">
      <c r="A1812" s="416">
        <v>44888</v>
      </c>
      <c r="B1812" s="403">
        <f t="shared" si="27"/>
        <v>424767.46</v>
      </c>
      <c r="C1812" s="403">
        <f t="shared" si="26"/>
        <v>424567.46</v>
      </c>
      <c r="D1812" s="596">
        <v>200</v>
      </c>
    </row>
    <row r="1813" spans="1:4" x14ac:dyDescent="0.2">
      <c r="A1813" s="416">
        <v>44889</v>
      </c>
      <c r="B1813" s="403">
        <f t="shared" si="27"/>
        <v>424767.46</v>
      </c>
      <c r="C1813" s="403">
        <f t="shared" si="26"/>
        <v>424567.46</v>
      </c>
      <c r="D1813" s="596">
        <v>200</v>
      </c>
    </row>
    <row r="1814" spans="1:4" x14ac:dyDescent="0.2">
      <c r="A1814" s="416">
        <v>44890</v>
      </c>
      <c r="B1814" s="403">
        <f t="shared" si="27"/>
        <v>442650.11</v>
      </c>
      <c r="C1814" s="403">
        <v>442450.11</v>
      </c>
      <c r="D1814" s="596">
        <v>200</v>
      </c>
    </row>
    <row r="1815" spans="1:4" x14ac:dyDescent="0.2">
      <c r="A1815" s="416">
        <v>44893</v>
      </c>
      <c r="B1815" s="403">
        <f t="shared" si="27"/>
        <v>442518.27</v>
      </c>
      <c r="C1815" s="403">
        <v>442318.27</v>
      </c>
      <c r="D1815" s="596">
        <v>200</v>
      </c>
    </row>
    <row r="1816" spans="1:4" x14ac:dyDescent="0.2">
      <c r="A1816" s="416">
        <v>44894</v>
      </c>
      <c r="B1816" s="403">
        <f t="shared" si="27"/>
        <v>442518.27</v>
      </c>
      <c r="C1816" s="403">
        <f t="shared" si="26"/>
        <v>442318.27</v>
      </c>
      <c r="D1816" s="596">
        <v>200</v>
      </c>
    </row>
    <row r="1817" spans="1:4" x14ac:dyDescent="0.2">
      <c r="A1817" s="416">
        <v>44895</v>
      </c>
      <c r="B1817" s="403">
        <f t="shared" si="27"/>
        <v>442518.27</v>
      </c>
      <c r="C1817" s="403">
        <f t="shared" si="26"/>
        <v>442318.27</v>
      </c>
      <c r="D1817" s="596">
        <v>200</v>
      </c>
    </row>
    <row r="1818" spans="1:4" x14ac:dyDescent="0.2">
      <c r="A1818" s="416">
        <v>44896</v>
      </c>
      <c r="B1818" s="403">
        <f t="shared" si="27"/>
        <v>442518.27</v>
      </c>
      <c r="C1818" s="403">
        <f t="shared" si="26"/>
        <v>442318.27</v>
      </c>
      <c r="D1818" s="596">
        <v>200</v>
      </c>
    </row>
    <row r="1819" spans="1:4" x14ac:dyDescent="0.2">
      <c r="A1819" s="416">
        <v>44897</v>
      </c>
      <c r="B1819" s="403">
        <f t="shared" si="27"/>
        <v>420942.38</v>
      </c>
      <c r="C1819" s="403">
        <v>420742.38</v>
      </c>
      <c r="D1819" s="596">
        <v>200</v>
      </c>
    </row>
    <row r="1820" spans="1:4" x14ac:dyDescent="0.2">
      <c r="A1820" s="416">
        <v>44900</v>
      </c>
      <c r="B1820" s="403">
        <f t="shared" si="27"/>
        <v>379216.39</v>
      </c>
      <c r="C1820" s="403">
        <v>379016.39</v>
      </c>
      <c r="D1820" s="596">
        <v>200</v>
      </c>
    </row>
    <row r="1821" spans="1:4" x14ac:dyDescent="0.2">
      <c r="A1821" s="416">
        <v>44901</v>
      </c>
      <c r="B1821" s="403">
        <f t="shared" si="27"/>
        <v>379216.39</v>
      </c>
      <c r="C1821" s="403">
        <f t="shared" si="26"/>
        <v>379016.39</v>
      </c>
      <c r="D1821" s="596">
        <v>200</v>
      </c>
    </row>
    <row r="1822" spans="1:4" x14ac:dyDescent="0.2">
      <c r="A1822" s="416">
        <v>44902</v>
      </c>
      <c r="B1822" s="403">
        <f t="shared" si="27"/>
        <v>379216.39</v>
      </c>
      <c r="C1822" s="403">
        <f t="shared" si="26"/>
        <v>379016.39</v>
      </c>
      <c r="D1822" s="596">
        <v>200</v>
      </c>
    </row>
    <row r="1823" spans="1:4" x14ac:dyDescent="0.2">
      <c r="A1823" s="416">
        <v>44903</v>
      </c>
      <c r="B1823" s="403">
        <f t="shared" si="27"/>
        <v>379216.39</v>
      </c>
      <c r="C1823" s="403">
        <f t="shared" si="26"/>
        <v>379016.39</v>
      </c>
      <c r="D1823" s="596">
        <v>200</v>
      </c>
    </row>
    <row r="1824" spans="1:4" x14ac:dyDescent="0.2">
      <c r="A1824" s="416">
        <v>44904</v>
      </c>
      <c r="B1824" s="403">
        <f t="shared" si="27"/>
        <v>383318.34</v>
      </c>
      <c r="C1824" s="403">
        <v>383118.34</v>
      </c>
      <c r="D1824" s="596">
        <v>200</v>
      </c>
    </row>
    <row r="1825" spans="1:4" x14ac:dyDescent="0.2">
      <c r="A1825" s="416">
        <v>44907</v>
      </c>
      <c r="B1825" s="403">
        <f t="shared" si="27"/>
        <v>383318.34</v>
      </c>
      <c r="C1825" s="403">
        <f t="shared" si="26"/>
        <v>383118.34</v>
      </c>
      <c r="D1825" s="596">
        <v>200</v>
      </c>
    </row>
    <row r="1826" spans="1:4" x14ac:dyDescent="0.2">
      <c r="A1826" s="416">
        <v>44908</v>
      </c>
      <c r="B1826" s="403">
        <f t="shared" si="27"/>
        <v>383318.34</v>
      </c>
      <c r="C1826" s="403">
        <f t="shared" si="26"/>
        <v>383118.34</v>
      </c>
      <c r="D1826" s="596">
        <v>200</v>
      </c>
    </row>
    <row r="1827" spans="1:4" x14ac:dyDescent="0.2">
      <c r="A1827" s="416">
        <v>44909</v>
      </c>
      <c r="B1827" s="403">
        <f t="shared" si="27"/>
        <v>378306.47</v>
      </c>
      <c r="C1827" s="403">
        <v>378106.47</v>
      </c>
      <c r="D1827" s="596">
        <v>200</v>
      </c>
    </row>
    <row r="1828" spans="1:4" x14ac:dyDescent="0.2">
      <c r="A1828" s="416">
        <v>44910</v>
      </c>
      <c r="B1828" s="403">
        <f t="shared" si="27"/>
        <v>385097.98</v>
      </c>
      <c r="C1828" s="403">
        <v>384897.98</v>
      </c>
      <c r="D1828" s="596">
        <v>200</v>
      </c>
    </row>
    <row r="1829" spans="1:4" x14ac:dyDescent="0.2">
      <c r="A1829" s="416">
        <v>44911</v>
      </c>
      <c r="B1829" s="403">
        <f t="shared" si="27"/>
        <v>385399.2</v>
      </c>
      <c r="C1829" s="403">
        <v>385199.2</v>
      </c>
      <c r="D1829" s="596">
        <v>200</v>
      </c>
    </row>
    <row r="1830" spans="1:4" x14ac:dyDescent="0.2">
      <c r="A1830" s="416">
        <v>44914</v>
      </c>
      <c r="B1830" s="403">
        <f t="shared" si="27"/>
        <v>385399.2</v>
      </c>
      <c r="C1830" s="403">
        <f t="shared" si="26"/>
        <v>385199.2</v>
      </c>
      <c r="D1830" s="596">
        <v>200</v>
      </c>
    </row>
    <row r="1831" spans="1:4" x14ac:dyDescent="0.2">
      <c r="A1831" s="416">
        <v>44915</v>
      </c>
      <c r="B1831" s="403">
        <f t="shared" si="27"/>
        <v>343338.22</v>
      </c>
      <c r="C1831" s="403">
        <v>343138.22</v>
      </c>
      <c r="D1831" s="596">
        <v>200</v>
      </c>
    </row>
    <row r="1832" spans="1:4" x14ac:dyDescent="0.2">
      <c r="A1832" s="416">
        <v>44916</v>
      </c>
      <c r="B1832" s="403">
        <f t="shared" si="27"/>
        <v>339355.16</v>
      </c>
      <c r="C1832" s="403">
        <v>339155.16</v>
      </c>
      <c r="D1832" s="596">
        <v>200</v>
      </c>
    </row>
    <row r="1833" spans="1:4" x14ac:dyDescent="0.2">
      <c r="A1833" s="416">
        <v>44917</v>
      </c>
      <c r="B1833" s="403">
        <f t="shared" si="27"/>
        <v>346945.63</v>
      </c>
      <c r="C1833" s="403">
        <v>346745.63</v>
      </c>
      <c r="D1833" s="596">
        <v>200</v>
      </c>
    </row>
    <row r="1834" spans="1:4" x14ac:dyDescent="0.2">
      <c r="A1834" s="416">
        <v>44918</v>
      </c>
      <c r="B1834" s="403">
        <f t="shared" si="27"/>
        <v>346470.13</v>
      </c>
      <c r="C1834" s="403">
        <v>346270.13</v>
      </c>
      <c r="D1834" s="596">
        <v>200</v>
      </c>
    </row>
    <row r="1835" spans="1:4" x14ac:dyDescent="0.2">
      <c r="A1835" s="416">
        <v>44921</v>
      </c>
      <c r="B1835" s="403">
        <f t="shared" si="27"/>
        <v>346470.13</v>
      </c>
      <c r="C1835" s="403">
        <f t="shared" si="26"/>
        <v>346270.13</v>
      </c>
      <c r="D1835" s="596">
        <v>200</v>
      </c>
    </row>
    <row r="1836" spans="1:4" x14ac:dyDescent="0.2">
      <c r="A1836" s="416">
        <v>44922</v>
      </c>
      <c r="B1836" s="403">
        <f t="shared" si="27"/>
        <v>346470.13</v>
      </c>
      <c r="C1836" s="403">
        <f t="shared" si="26"/>
        <v>346270.13</v>
      </c>
      <c r="D1836" s="596">
        <v>200</v>
      </c>
    </row>
    <row r="1837" spans="1:4" x14ac:dyDescent="0.2">
      <c r="A1837" s="416">
        <v>44923</v>
      </c>
      <c r="B1837" s="403">
        <f t="shared" si="27"/>
        <v>432503.36</v>
      </c>
      <c r="C1837" s="403">
        <v>432303.35999999999</v>
      </c>
      <c r="D1837" s="596">
        <v>200</v>
      </c>
    </row>
    <row r="1838" spans="1:4" x14ac:dyDescent="0.2">
      <c r="A1838" s="416">
        <v>44924</v>
      </c>
      <c r="B1838" s="403">
        <f t="shared" si="27"/>
        <v>432600.88</v>
      </c>
      <c r="C1838" s="403">
        <v>432400.88</v>
      </c>
      <c r="D1838" s="596">
        <v>200</v>
      </c>
    </row>
    <row r="1839" spans="1:4" x14ac:dyDescent="0.2">
      <c r="A1839" s="416">
        <v>44925</v>
      </c>
      <c r="B1839" s="444">
        <f t="shared" si="27"/>
        <v>432698.4</v>
      </c>
      <c r="C1839" s="403">
        <v>432498.4</v>
      </c>
      <c r="D1839" s="596">
        <v>200</v>
      </c>
    </row>
    <row r="1840" spans="1:4" x14ac:dyDescent="0.2">
      <c r="A1840" s="416">
        <v>44928</v>
      </c>
      <c r="B1840" s="403">
        <f t="shared" si="27"/>
        <v>432698.4</v>
      </c>
      <c r="C1840" s="403">
        <f t="shared" si="26"/>
        <v>432498.4</v>
      </c>
      <c r="D1840" s="596">
        <v>200</v>
      </c>
    </row>
    <row r="1841" spans="1:4" x14ac:dyDescent="0.2">
      <c r="A1841" s="416">
        <v>44929</v>
      </c>
      <c r="B1841" s="403">
        <f t="shared" si="27"/>
        <v>432648.4</v>
      </c>
      <c r="C1841" s="403">
        <v>432448.4</v>
      </c>
      <c r="D1841" s="596">
        <v>200</v>
      </c>
    </row>
    <row r="1842" spans="1:4" x14ac:dyDescent="0.2">
      <c r="A1842" s="416">
        <v>44930</v>
      </c>
      <c r="B1842" s="403">
        <f t="shared" si="27"/>
        <v>432648.4</v>
      </c>
      <c r="C1842" s="403">
        <f t="shared" ref="C1842:C1877" si="28">C1841</f>
        <v>432448.4</v>
      </c>
      <c r="D1842" s="596">
        <v>200</v>
      </c>
    </row>
    <row r="1843" spans="1:4" x14ac:dyDescent="0.2">
      <c r="A1843" s="416">
        <v>44931</v>
      </c>
      <c r="B1843" s="403">
        <f t="shared" si="27"/>
        <v>376288.8</v>
      </c>
      <c r="C1843" s="403">
        <v>376088.8</v>
      </c>
      <c r="D1843" s="596">
        <v>200</v>
      </c>
    </row>
    <row r="1844" spans="1:4" x14ac:dyDescent="0.2">
      <c r="A1844" s="416">
        <v>44932</v>
      </c>
      <c r="B1844" s="403">
        <f t="shared" si="27"/>
        <v>375846.51</v>
      </c>
      <c r="C1844" s="403">
        <v>375646.51</v>
      </c>
      <c r="D1844" s="596">
        <v>200</v>
      </c>
    </row>
    <row r="1845" spans="1:4" x14ac:dyDescent="0.2">
      <c r="A1845" s="416">
        <v>44935</v>
      </c>
      <c r="B1845" s="403">
        <f t="shared" si="27"/>
        <v>375246.51</v>
      </c>
      <c r="C1845" s="403">
        <v>375046.51</v>
      </c>
      <c r="D1845" s="596">
        <v>200</v>
      </c>
    </row>
    <row r="1846" spans="1:4" x14ac:dyDescent="0.2">
      <c r="A1846" s="416">
        <v>44936</v>
      </c>
      <c r="B1846" s="403">
        <f t="shared" si="27"/>
        <v>375703.51</v>
      </c>
      <c r="C1846" s="403">
        <v>375503.51</v>
      </c>
      <c r="D1846" s="596">
        <v>200</v>
      </c>
    </row>
    <row r="1847" spans="1:4" x14ac:dyDescent="0.2">
      <c r="A1847" s="416">
        <v>44937</v>
      </c>
      <c r="B1847" s="403">
        <f t="shared" si="27"/>
        <v>375837.32</v>
      </c>
      <c r="C1847" s="403">
        <v>375637.32</v>
      </c>
      <c r="D1847" s="596">
        <v>200</v>
      </c>
    </row>
    <row r="1848" spans="1:4" x14ac:dyDescent="0.2">
      <c r="A1848" s="416">
        <v>44938</v>
      </c>
      <c r="B1848" s="403">
        <f t="shared" si="27"/>
        <v>358313.37</v>
      </c>
      <c r="C1848" s="403">
        <v>358113.37</v>
      </c>
      <c r="D1848" s="596">
        <v>200</v>
      </c>
    </row>
    <row r="1849" spans="1:4" x14ac:dyDescent="0.2">
      <c r="A1849" s="416">
        <v>44939</v>
      </c>
      <c r="B1849" s="403">
        <f t="shared" si="27"/>
        <v>362655.36</v>
      </c>
      <c r="C1849" s="403">
        <v>362455.36</v>
      </c>
      <c r="D1849" s="596">
        <v>200</v>
      </c>
    </row>
    <row r="1850" spans="1:4" x14ac:dyDescent="0.2">
      <c r="A1850" s="416">
        <v>44942</v>
      </c>
      <c r="B1850" s="403">
        <f t="shared" si="27"/>
        <v>362655.36</v>
      </c>
      <c r="C1850" s="403">
        <f t="shared" si="28"/>
        <v>362455.36</v>
      </c>
      <c r="D1850" s="596">
        <v>200</v>
      </c>
    </row>
    <row r="1851" spans="1:4" x14ac:dyDescent="0.2">
      <c r="A1851" s="416">
        <v>44943</v>
      </c>
      <c r="B1851" s="403">
        <f t="shared" si="27"/>
        <v>296234.34999999998</v>
      </c>
      <c r="C1851" s="403">
        <v>296034.34999999998</v>
      </c>
      <c r="D1851" s="596">
        <v>200</v>
      </c>
    </row>
    <row r="1852" spans="1:4" x14ac:dyDescent="0.2">
      <c r="A1852" s="416">
        <v>44944</v>
      </c>
      <c r="B1852" s="403">
        <f t="shared" si="27"/>
        <v>309641.15000000002</v>
      </c>
      <c r="C1852" s="403">
        <v>309441.15000000002</v>
      </c>
      <c r="D1852" s="596">
        <v>200</v>
      </c>
    </row>
    <row r="1853" spans="1:4" x14ac:dyDescent="0.2">
      <c r="A1853" s="416">
        <v>44945</v>
      </c>
      <c r="B1853" s="403">
        <f t="shared" si="27"/>
        <v>316446.05</v>
      </c>
      <c r="C1853" s="403">
        <v>316246.05</v>
      </c>
      <c r="D1853" s="596">
        <v>200</v>
      </c>
    </row>
    <row r="1854" spans="1:4" x14ac:dyDescent="0.2">
      <c r="A1854" s="416">
        <v>44946</v>
      </c>
      <c r="B1854" s="403">
        <f t="shared" si="27"/>
        <v>315066.78000000003</v>
      </c>
      <c r="C1854" s="403">
        <v>314866.78000000003</v>
      </c>
      <c r="D1854" s="596">
        <v>200</v>
      </c>
    </row>
    <row r="1855" spans="1:4" x14ac:dyDescent="0.2">
      <c r="A1855" s="416">
        <v>44949</v>
      </c>
      <c r="B1855" s="403">
        <f t="shared" si="27"/>
        <v>314907.93</v>
      </c>
      <c r="C1855" s="403">
        <v>314707.93</v>
      </c>
      <c r="D1855" s="596">
        <v>200</v>
      </c>
    </row>
    <row r="1856" spans="1:4" x14ac:dyDescent="0.2">
      <c r="A1856" s="416">
        <v>44950</v>
      </c>
      <c r="B1856" s="403">
        <f t="shared" si="27"/>
        <v>314907.93</v>
      </c>
      <c r="C1856" s="403">
        <f t="shared" si="28"/>
        <v>314707.93</v>
      </c>
      <c r="D1856" s="596">
        <v>200</v>
      </c>
    </row>
    <row r="1857" spans="1:4" x14ac:dyDescent="0.2">
      <c r="A1857" s="416">
        <v>44951</v>
      </c>
      <c r="B1857" s="403">
        <f t="shared" si="27"/>
        <v>314907.93</v>
      </c>
      <c r="C1857" s="403">
        <f t="shared" si="28"/>
        <v>314707.93</v>
      </c>
      <c r="D1857" s="596">
        <v>200</v>
      </c>
    </row>
    <row r="1858" spans="1:4" x14ac:dyDescent="0.2">
      <c r="A1858" s="416">
        <v>44952</v>
      </c>
      <c r="B1858" s="403">
        <f t="shared" si="27"/>
        <v>315650.68</v>
      </c>
      <c r="C1858" s="403">
        <v>315450.68</v>
      </c>
      <c r="D1858" s="596">
        <v>200</v>
      </c>
    </row>
    <row r="1859" spans="1:4" x14ac:dyDescent="0.2">
      <c r="A1859" s="416">
        <v>44953</v>
      </c>
      <c r="B1859" s="403">
        <f t="shared" si="27"/>
        <v>291355.65000000002</v>
      </c>
      <c r="C1859" s="403">
        <v>291155.65000000002</v>
      </c>
      <c r="D1859" s="596">
        <v>200</v>
      </c>
    </row>
    <row r="1860" spans="1:4" x14ac:dyDescent="0.2">
      <c r="A1860" s="416">
        <v>44956</v>
      </c>
      <c r="B1860" s="403">
        <f t="shared" si="27"/>
        <v>270294.52</v>
      </c>
      <c r="C1860" s="403">
        <v>270094.52</v>
      </c>
      <c r="D1860" s="596">
        <v>200</v>
      </c>
    </row>
    <row r="1861" spans="1:4" x14ac:dyDescent="0.2">
      <c r="A1861" s="416">
        <v>44957</v>
      </c>
      <c r="B1861" s="403">
        <f t="shared" si="27"/>
        <v>269684.28999999998</v>
      </c>
      <c r="C1861" s="403">
        <v>269484.28999999998</v>
      </c>
      <c r="D1861" s="596">
        <v>200</v>
      </c>
    </row>
    <row r="1862" spans="1:4" x14ac:dyDescent="0.2">
      <c r="A1862" s="416">
        <v>44958</v>
      </c>
      <c r="B1862" s="403">
        <f t="shared" si="27"/>
        <v>269684.28999999998</v>
      </c>
      <c r="C1862" s="403">
        <f t="shared" si="28"/>
        <v>269484.28999999998</v>
      </c>
      <c r="D1862" s="596">
        <v>200</v>
      </c>
    </row>
    <row r="1863" spans="1:4" x14ac:dyDescent="0.2">
      <c r="A1863" s="416">
        <v>44959</v>
      </c>
      <c r="B1863" s="444">
        <f t="shared" si="27"/>
        <v>259972.42</v>
      </c>
      <c r="C1863" s="403">
        <v>259772.42</v>
      </c>
      <c r="D1863" s="596">
        <v>200</v>
      </c>
    </row>
    <row r="1864" spans="1:4" x14ac:dyDescent="0.2">
      <c r="A1864" s="416">
        <v>44960</v>
      </c>
      <c r="B1864" s="403">
        <f t="shared" si="27"/>
        <v>282694.13</v>
      </c>
      <c r="C1864" s="403">
        <v>282494.13</v>
      </c>
      <c r="D1864" s="596">
        <v>200</v>
      </c>
    </row>
    <row r="1865" spans="1:4" x14ac:dyDescent="0.2">
      <c r="A1865" s="416">
        <v>44963</v>
      </c>
      <c r="B1865" s="403">
        <f t="shared" si="27"/>
        <v>282636.44</v>
      </c>
      <c r="C1865" s="403">
        <v>282436.44</v>
      </c>
      <c r="D1865" s="596">
        <v>200</v>
      </c>
    </row>
    <row r="1866" spans="1:4" x14ac:dyDescent="0.2">
      <c r="A1866" s="416">
        <v>44964</v>
      </c>
      <c r="B1866" s="403">
        <f t="shared" ref="B1866:B1924" si="29">C1866+D1866</f>
        <v>298296.44</v>
      </c>
      <c r="C1866" s="403">
        <v>298096.44</v>
      </c>
      <c r="D1866" s="596">
        <v>200</v>
      </c>
    </row>
    <row r="1867" spans="1:4" x14ac:dyDescent="0.2">
      <c r="A1867" s="416">
        <v>44965</v>
      </c>
      <c r="B1867" s="403">
        <f t="shared" si="29"/>
        <v>298259.44</v>
      </c>
      <c r="C1867" s="403">
        <v>298059.44</v>
      </c>
      <c r="D1867" s="596">
        <v>200</v>
      </c>
    </row>
    <row r="1868" spans="1:4" x14ac:dyDescent="0.2">
      <c r="A1868" s="416">
        <v>44966</v>
      </c>
      <c r="B1868" s="403">
        <f t="shared" si="29"/>
        <v>286670.99</v>
      </c>
      <c r="C1868" s="403">
        <v>286470.99</v>
      </c>
      <c r="D1868" s="596">
        <v>200</v>
      </c>
    </row>
    <row r="1869" spans="1:4" x14ac:dyDescent="0.2">
      <c r="A1869" s="416">
        <v>44967</v>
      </c>
      <c r="B1869" s="403">
        <f t="shared" si="29"/>
        <v>329121.65000000002</v>
      </c>
      <c r="C1869" s="403">
        <v>328921.65000000002</v>
      </c>
      <c r="D1869" s="596">
        <v>200</v>
      </c>
    </row>
    <row r="1870" spans="1:4" x14ac:dyDescent="0.2">
      <c r="A1870" s="416">
        <v>44970</v>
      </c>
      <c r="B1870" s="403">
        <f t="shared" si="29"/>
        <v>287265.95</v>
      </c>
      <c r="C1870" s="403">
        <v>287065.95</v>
      </c>
      <c r="D1870" s="596">
        <v>200</v>
      </c>
    </row>
    <row r="1871" spans="1:4" x14ac:dyDescent="0.2">
      <c r="A1871" s="416">
        <v>44971</v>
      </c>
      <c r="B1871" s="403">
        <f t="shared" si="29"/>
        <v>291765.95</v>
      </c>
      <c r="C1871" s="403">
        <v>291565.95</v>
      </c>
      <c r="D1871" s="596">
        <v>200</v>
      </c>
    </row>
    <row r="1872" spans="1:4" x14ac:dyDescent="0.2">
      <c r="A1872" s="416">
        <v>44972</v>
      </c>
      <c r="B1872" s="403">
        <f t="shared" si="29"/>
        <v>291800.28000000003</v>
      </c>
      <c r="C1872" s="403">
        <v>291600.28000000003</v>
      </c>
      <c r="D1872" s="596">
        <v>200</v>
      </c>
    </row>
    <row r="1873" spans="1:4" x14ac:dyDescent="0.2">
      <c r="A1873" s="416">
        <v>44973</v>
      </c>
      <c r="B1873" s="403">
        <f t="shared" si="29"/>
        <v>298342.23</v>
      </c>
      <c r="C1873" s="403">
        <v>298142.23</v>
      </c>
      <c r="D1873" s="596">
        <v>200</v>
      </c>
    </row>
    <row r="1874" spans="1:4" x14ac:dyDescent="0.2">
      <c r="A1874" s="416">
        <v>44974</v>
      </c>
      <c r="B1874" s="403">
        <f t="shared" si="29"/>
        <v>292633.62</v>
      </c>
      <c r="C1874" s="403">
        <v>292433.62</v>
      </c>
      <c r="D1874" s="596">
        <v>200</v>
      </c>
    </row>
    <row r="1875" spans="1:4" x14ac:dyDescent="0.2">
      <c r="A1875" s="416">
        <v>44977</v>
      </c>
      <c r="B1875" s="403">
        <f t="shared" si="29"/>
        <v>292633.62</v>
      </c>
      <c r="C1875" s="403">
        <f t="shared" si="28"/>
        <v>292433.62</v>
      </c>
      <c r="D1875" s="596">
        <v>200</v>
      </c>
    </row>
    <row r="1876" spans="1:4" x14ac:dyDescent="0.2">
      <c r="A1876" s="416">
        <v>44978</v>
      </c>
      <c r="B1876" s="403">
        <f t="shared" si="29"/>
        <v>320810.26</v>
      </c>
      <c r="C1876" s="403">
        <v>320610.26</v>
      </c>
      <c r="D1876" s="596">
        <v>200</v>
      </c>
    </row>
    <row r="1877" spans="1:4" x14ac:dyDescent="0.2">
      <c r="A1877" s="416">
        <v>44979</v>
      </c>
      <c r="B1877" s="403">
        <f t="shared" si="29"/>
        <v>320810.26</v>
      </c>
      <c r="C1877" s="403">
        <f t="shared" si="28"/>
        <v>320610.26</v>
      </c>
      <c r="D1877" s="596">
        <v>200</v>
      </c>
    </row>
    <row r="1878" spans="1:4" x14ac:dyDescent="0.2">
      <c r="A1878" s="416">
        <v>44980</v>
      </c>
      <c r="B1878" s="403">
        <f t="shared" si="29"/>
        <v>341705.89</v>
      </c>
      <c r="C1878" s="403">
        <v>341505.89</v>
      </c>
      <c r="D1878" s="596">
        <v>200</v>
      </c>
    </row>
    <row r="1879" spans="1:4" x14ac:dyDescent="0.2">
      <c r="A1879" s="416">
        <v>44981</v>
      </c>
      <c r="B1879" s="403">
        <f t="shared" si="29"/>
        <v>341754.4</v>
      </c>
      <c r="C1879" s="403">
        <v>341554.4</v>
      </c>
      <c r="D1879" s="596">
        <v>200</v>
      </c>
    </row>
    <row r="1880" spans="1:4" x14ac:dyDescent="0.2">
      <c r="A1880" s="416">
        <v>44984</v>
      </c>
      <c r="B1880" s="403">
        <f t="shared" si="29"/>
        <v>330670.37</v>
      </c>
      <c r="C1880" s="403">
        <v>330470.37</v>
      </c>
      <c r="D1880" s="596">
        <v>200</v>
      </c>
    </row>
    <row r="1881" spans="1:4" x14ac:dyDescent="0.2">
      <c r="A1881" s="416">
        <v>44985</v>
      </c>
      <c r="B1881" s="403">
        <f t="shared" si="29"/>
        <v>338045.7</v>
      </c>
      <c r="C1881" s="403">
        <v>337845.7</v>
      </c>
      <c r="D1881" s="596">
        <v>200</v>
      </c>
    </row>
    <row r="1882" spans="1:4" x14ac:dyDescent="0.2">
      <c r="A1882" s="416">
        <v>44986</v>
      </c>
      <c r="B1882" s="403">
        <f t="shared" si="29"/>
        <v>338604.7</v>
      </c>
      <c r="C1882" s="403">
        <v>338404.7</v>
      </c>
      <c r="D1882" s="596">
        <v>200</v>
      </c>
    </row>
    <row r="1883" spans="1:4" x14ac:dyDescent="0.2">
      <c r="A1883" s="416">
        <v>44987</v>
      </c>
      <c r="B1883" s="403">
        <f t="shared" si="29"/>
        <v>329491.15000000002</v>
      </c>
      <c r="C1883" s="403">
        <v>329291.15000000002</v>
      </c>
      <c r="D1883" s="596">
        <v>200</v>
      </c>
    </row>
    <row r="1884" spans="1:4" x14ac:dyDescent="0.2">
      <c r="A1884" s="416">
        <v>44988</v>
      </c>
      <c r="B1884" s="403">
        <f t="shared" si="29"/>
        <v>329106.55</v>
      </c>
      <c r="C1884" s="403">
        <v>328906.55</v>
      </c>
      <c r="D1884" s="596">
        <v>200</v>
      </c>
    </row>
    <row r="1885" spans="1:4" x14ac:dyDescent="0.2">
      <c r="A1885" s="416">
        <v>44991</v>
      </c>
      <c r="B1885" s="403">
        <f t="shared" si="29"/>
        <v>329106.55</v>
      </c>
      <c r="C1885" s="403">
        <f t="shared" ref="C1885:C1947" si="30">C1884</f>
        <v>328906.55</v>
      </c>
      <c r="D1885" s="596">
        <v>200</v>
      </c>
    </row>
    <row r="1886" spans="1:4" x14ac:dyDescent="0.2">
      <c r="A1886" s="416">
        <v>44992</v>
      </c>
      <c r="B1886" s="403">
        <f t="shared" si="29"/>
        <v>366692.56</v>
      </c>
      <c r="C1886" s="403">
        <v>366492.56</v>
      </c>
      <c r="D1886" s="596">
        <v>200</v>
      </c>
    </row>
    <row r="1887" spans="1:4" x14ac:dyDescent="0.2">
      <c r="A1887" s="416">
        <v>44993</v>
      </c>
      <c r="B1887" s="403">
        <f t="shared" si="29"/>
        <v>368956.85</v>
      </c>
      <c r="C1887" s="403">
        <v>368756.85</v>
      </c>
      <c r="D1887" s="596">
        <v>200</v>
      </c>
    </row>
    <row r="1888" spans="1:4" x14ac:dyDescent="0.2">
      <c r="A1888" s="416">
        <v>44994</v>
      </c>
      <c r="B1888" s="403">
        <f t="shared" si="29"/>
        <v>390880.67</v>
      </c>
      <c r="C1888" s="403">
        <v>390680.67</v>
      </c>
      <c r="D1888" s="596">
        <v>200</v>
      </c>
    </row>
    <row r="1889" spans="1:4" x14ac:dyDescent="0.2">
      <c r="A1889" s="416">
        <v>44995</v>
      </c>
      <c r="B1889" s="403">
        <f t="shared" si="29"/>
        <v>414120.74</v>
      </c>
      <c r="C1889" s="403">
        <v>413920.74</v>
      </c>
      <c r="D1889" s="596">
        <v>200</v>
      </c>
    </row>
    <row r="1890" spans="1:4" x14ac:dyDescent="0.2">
      <c r="A1890" s="416">
        <v>44998</v>
      </c>
      <c r="B1890" s="403">
        <f t="shared" si="29"/>
        <v>424130.52</v>
      </c>
      <c r="C1890" s="403">
        <v>423930.52</v>
      </c>
      <c r="D1890" s="596">
        <v>200</v>
      </c>
    </row>
    <row r="1891" spans="1:4" x14ac:dyDescent="0.2">
      <c r="A1891" s="416">
        <v>44999</v>
      </c>
      <c r="B1891" s="403">
        <f t="shared" si="29"/>
        <v>424130.52</v>
      </c>
      <c r="C1891" s="403">
        <f t="shared" si="30"/>
        <v>423930.52</v>
      </c>
      <c r="D1891" s="596">
        <v>200</v>
      </c>
    </row>
    <row r="1892" spans="1:4" x14ac:dyDescent="0.2">
      <c r="A1892" s="416">
        <v>45000</v>
      </c>
      <c r="B1892" s="403">
        <f t="shared" si="29"/>
        <v>424163.34</v>
      </c>
      <c r="C1892" s="403">
        <v>423963.34</v>
      </c>
      <c r="D1892" s="596">
        <v>200</v>
      </c>
    </row>
    <row r="1893" spans="1:4" x14ac:dyDescent="0.2">
      <c r="A1893" s="416">
        <v>45001</v>
      </c>
      <c r="B1893" s="403">
        <f t="shared" si="29"/>
        <v>422350.37</v>
      </c>
      <c r="C1893" s="403">
        <v>422150.37</v>
      </c>
      <c r="D1893" s="596">
        <v>200</v>
      </c>
    </row>
    <row r="1894" spans="1:4" x14ac:dyDescent="0.2">
      <c r="A1894" s="416">
        <v>45002</v>
      </c>
      <c r="B1894" s="403">
        <f t="shared" si="29"/>
        <v>421965.77</v>
      </c>
      <c r="C1894" s="403">
        <v>421765.77</v>
      </c>
      <c r="D1894" s="596">
        <v>200</v>
      </c>
    </row>
    <row r="1895" spans="1:4" x14ac:dyDescent="0.2">
      <c r="A1895" s="416">
        <v>45005</v>
      </c>
      <c r="B1895" s="403">
        <f t="shared" si="29"/>
        <v>419047.88</v>
      </c>
      <c r="C1895" s="403">
        <v>418847.88</v>
      </c>
      <c r="D1895" s="596">
        <v>200</v>
      </c>
    </row>
    <row r="1896" spans="1:4" x14ac:dyDescent="0.2">
      <c r="A1896" s="416">
        <v>45006</v>
      </c>
      <c r="B1896" s="403">
        <f t="shared" si="29"/>
        <v>425165.2</v>
      </c>
      <c r="C1896" s="403">
        <v>424965.2</v>
      </c>
      <c r="D1896" s="596">
        <v>200</v>
      </c>
    </row>
    <row r="1897" spans="1:4" x14ac:dyDescent="0.2">
      <c r="A1897" s="416">
        <v>45007</v>
      </c>
      <c r="B1897" s="403">
        <f t="shared" si="29"/>
        <v>415468.61</v>
      </c>
      <c r="C1897" s="403">
        <v>415268.61</v>
      </c>
      <c r="D1897" s="596">
        <v>200</v>
      </c>
    </row>
    <row r="1898" spans="1:4" x14ac:dyDescent="0.2">
      <c r="A1898" s="416">
        <v>45008</v>
      </c>
      <c r="B1898" s="403">
        <f t="shared" si="29"/>
        <v>444345.89</v>
      </c>
      <c r="C1898" s="403">
        <v>444145.89</v>
      </c>
      <c r="D1898" s="596">
        <v>200</v>
      </c>
    </row>
    <row r="1899" spans="1:4" x14ac:dyDescent="0.2">
      <c r="A1899" s="416">
        <v>45009</v>
      </c>
      <c r="B1899" s="403">
        <f t="shared" si="29"/>
        <v>444345.89</v>
      </c>
      <c r="C1899" s="403">
        <f t="shared" si="30"/>
        <v>444145.89</v>
      </c>
      <c r="D1899" s="596">
        <v>200</v>
      </c>
    </row>
    <row r="1900" spans="1:4" x14ac:dyDescent="0.2">
      <c r="A1900" s="416">
        <v>45012</v>
      </c>
      <c r="B1900" s="444">
        <f t="shared" si="29"/>
        <v>472758.17</v>
      </c>
      <c r="C1900" s="403">
        <v>472558.17</v>
      </c>
      <c r="D1900" s="596">
        <v>200</v>
      </c>
    </row>
    <row r="1901" spans="1:4" x14ac:dyDescent="0.2">
      <c r="A1901" s="416">
        <v>45013</v>
      </c>
      <c r="B1901" s="403">
        <f t="shared" si="29"/>
        <v>431931.97</v>
      </c>
      <c r="C1901" s="403">
        <v>431731.97</v>
      </c>
      <c r="D1901" s="596">
        <v>200</v>
      </c>
    </row>
    <row r="1902" spans="1:4" x14ac:dyDescent="0.2">
      <c r="A1902" s="416">
        <v>45014</v>
      </c>
      <c r="B1902" s="403">
        <f t="shared" si="29"/>
        <v>435079.42</v>
      </c>
      <c r="C1902" s="403">
        <v>434879.42</v>
      </c>
      <c r="D1902" s="596">
        <v>200</v>
      </c>
    </row>
    <row r="1903" spans="1:4" x14ac:dyDescent="0.2">
      <c r="A1903" s="416">
        <v>45015</v>
      </c>
      <c r="B1903" s="403">
        <f t="shared" si="29"/>
        <v>424040.9</v>
      </c>
      <c r="C1903" s="403">
        <v>423840.9</v>
      </c>
      <c r="D1903" s="596">
        <v>200</v>
      </c>
    </row>
    <row r="1904" spans="1:4" x14ac:dyDescent="0.2">
      <c r="A1904" s="416">
        <v>45016</v>
      </c>
      <c r="B1904" s="403">
        <f t="shared" si="29"/>
        <v>449683.31</v>
      </c>
      <c r="C1904" s="403">
        <v>449483.31</v>
      </c>
      <c r="D1904" s="596">
        <v>200</v>
      </c>
    </row>
    <row r="1905" spans="1:4" x14ac:dyDescent="0.2">
      <c r="A1905" s="416">
        <v>45019</v>
      </c>
      <c r="B1905" s="403">
        <f t="shared" si="29"/>
        <v>449683.31</v>
      </c>
      <c r="C1905" s="403">
        <f t="shared" si="30"/>
        <v>449483.31</v>
      </c>
      <c r="D1905" s="596">
        <v>200</v>
      </c>
    </row>
    <row r="1906" spans="1:4" x14ac:dyDescent="0.2">
      <c r="A1906" s="416">
        <v>45020</v>
      </c>
      <c r="B1906" s="403">
        <f t="shared" si="29"/>
        <v>449683.31</v>
      </c>
      <c r="C1906" s="403">
        <f t="shared" si="30"/>
        <v>449483.31</v>
      </c>
      <c r="D1906" s="596">
        <v>200</v>
      </c>
    </row>
    <row r="1907" spans="1:4" x14ac:dyDescent="0.2">
      <c r="A1907" s="416">
        <v>45021</v>
      </c>
      <c r="B1907" s="403">
        <f t="shared" si="29"/>
        <v>449683.31</v>
      </c>
      <c r="C1907" s="403">
        <f t="shared" si="30"/>
        <v>449483.31</v>
      </c>
      <c r="D1907" s="596">
        <v>200</v>
      </c>
    </row>
    <row r="1908" spans="1:4" x14ac:dyDescent="0.2">
      <c r="A1908" s="416">
        <v>45022</v>
      </c>
      <c r="B1908" s="403">
        <f t="shared" si="29"/>
        <v>425038.75</v>
      </c>
      <c r="C1908" s="403">
        <v>424838.75</v>
      </c>
      <c r="D1908" s="596">
        <v>200</v>
      </c>
    </row>
    <row r="1909" spans="1:4" x14ac:dyDescent="0.2">
      <c r="A1909" s="416">
        <v>45023</v>
      </c>
      <c r="B1909" s="403">
        <f t="shared" si="29"/>
        <v>425038.75</v>
      </c>
      <c r="C1909" s="403">
        <f t="shared" si="30"/>
        <v>424838.75</v>
      </c>
      <c r="D1909" s="596">
        <v>200</v>
      </c>
    </row>
    <row r="1910" spans="1:4" x14ac:dyDescent="0.2">
      <c r="A1910" s="416">
        <v>45026</v>
      </c>
      <c r="B1910" s="403">
        <f t="shared" si="29"/>
        <v>381899.02</v>
      </c>
      <c r="C1910" s="403">
        <v>381699.02</v>
      </c>
      <c r="D1910" s="596">
        <v>200</v>
      </c>
    </row>
    <row r="1911" spans="1:4" x14ac:dyDescent="0.2">
      <c r="A1911" s="416">
        <v>45027</v>
      </c>
      <c r="B1911" s="403">
        <f t="shared" si="29"/>
        <v>403291.29</v>
      </c>
      <c r="C1911" s="403">
        <v>403091.29</v>
      </c>
      <c r="D1911" s="596">
        <v>200</v>
      </c>
    </row>
    <row r="1912" spans="1:4" x14ac:dyDescent="0.2">
      <c r="A1912" s="416">
        <v>45028</v>
      </c>
      <c r="B1912" s="403">
        <f t="shared" si="29"/>
        <v>398523.39</v>
      </c>
      <c r="C1912" s="403">
        <v>398323.39</v>
      </c>
      <c r="D1912" s="596">
        <v>200</v>
      </c>
    </row>
    <row r="1913" spans="1:4" x14ac:dyDescent="0.2">
      <c r="A1913" s="416">
        <v>45029</v>
      </c>
      <c r="B1913" s="403">
        <f t="shared" si="29"/>
        <v>405256.29</v>
      </c>
      <c r="C1913" s="403">
        <v>405056.29</v>
      </c>
      <c r="D1913" s="596">
        <v>200</v>
      </c>
    </row>
    <row r="1914" spans="1:4" x14ac:dyDescent="0.2">
      <c r="A1914" s="416">
        <v>45030</v>
      </c>
      <c r="B1914" s="403">
        <f t="shared" si="29"/>
        <v>404915.18</v>
      </c>
      <c r="C1914" s="403">
        <v>404715.18</v>
      </c>
      <c r="D1914" s="596">
        <v>200</v>
      </c>
    </row>
    <row r="1915" spans="1:4" x14ac:dyDescent="0.2">
      <c r="A1915" s="416">
        <v>45033</v>
      </c>
      <c r="B1915" s="403">
        <f t="shared" si="29"/>
        <v>403828.39</v>
      </c>
      <c r="C1915" s="403">
        <v>403628.39</v>
      </c>
      <c r="D1915" s="596">
        <v>200</v>
      </c>
    </row>
    <row r="1916" spans="1:4" x14ac:dyDescent="0.2">
      <c r="A1916" s="416">
        <v>45034</v>
      </c>
      <c r="B1916" s="403">
        <f t="shared" si="29"/>
        <v>403828.39</v>
      </c>
      <c r="C1916" s="403">
        <f t="shared" si="30"/>
        <v>403628.39</v>
      </c>
      <c r="D1916" s="596">
        <v>200</v>
      </c>
    </row>
    <row r="1917" spans="1:4" x14ac:dyDescent="0.2">
      <c r="A1917" s="416">
        <v>45035</v>
      </c>
      <c r="B1917" s="403">
        <f t="shared" si="29"/>
        <v>434721.04</v>
      </c>
      <c r="C1917" s="403">
        <v>434521.04</v>
      </c>
      <c r="D1917" s="596">
        <v>200</v>
      </c>
    </row>
    <row r="1918" spans="1:4" x14ac:dyDescent="0.2">
      <c r="A1918" s="416">
        <v>45036</v>
      </c>
      <c r="B1918" s="403">
        <f t="shared" si="29"/>
        <v>421127.98</v>
      </c>
      <c r="C1918" s="403">
        <v>420927.98</v>
      </c>
      <c r="D1918" s="596">
        <v>200</v>
      </c>
    </row>
    <row r="1919" spans="1:4" x14ac:dyDescent="0.2">
      <c r="A1919" s="416">
        <v>45037</v>
      </c>
      <c r="B1919" s="403">
        <f t="shared" si="29"/>
        <v>420969.13</v>
      </c>
      <c r="C1919" s="403">
        <v>420769.13</v>
      </c>
      <c r="D1919" s="596">
        <v>200</v>
      </c>
    </row>
    <row r="1920" spans="1:4" x14ac:dyDescent="0.2">
      <c r="A1920" s="416">
        <v>45040</v>
      </c>
      <c r="B1920" s="403">
        <f t="shared" si="29"/>
        <v>420969.13</v>
      </c>
      <c r="C1920" s="403">
        <f t="shared" si="30"/>
        <v>420769.13</v>
      </c>
      <c r="D1920" s="596">
        <v>200</v>
      </c>
    </row>
    <row r="1921" spans="1:4" x14ac:dyDescent="0.2">
      <c r="A1921" s="416">
        <v>45041</v>
      </c>
      <c r="B1921" s="403">
        <f t="shared" si="29"/>
        <v>379345</v>
      </c>
      <c r="C1921" s="403">
        <v>379145</v>
      </c>
      <c r="D1921" s="596">
        <v>200</v>
      </c>
    </row>
    <row r="1922" spans="1:4" x14ac:dyDescent="0.2">
      <c r="A1922" s="416">
        <v>45042</v>
      </c>
      <c r="B1922" s="403">
        <f t="shared" si="29"/>
        <v>379345</v>
      </c>
      <c r="C1922" s="403">
        <f t="shared" si="30"/>
        <v>379145</v>
      </c>
      <c r="D1922" s="596">
        <v>200</v>
      </c>
    </row>
    <row r="1923" spans="1:4" x14ac:dyDescent="0.2">
      <c r="A1923" s="416">
        <v>45043</v>
      </c>
      <c r="B1923" s="403">
        <f t="shared" si="29"/>
        <v>379345</v>
      </c>
      <c r="C1923" s="403">
        <f t="shared" si="30"/>
        <v>379145</v>
      </c>
      <c r="D1923" s="596">
        <v>200</v>
      </c>
    </row>
    <row r="1924" spans="1:4" x14ac:dyDescent="0.2">
      <c r="A1924" s="416">
        <v>45044</v>
      </c>
      <c r="B1924" s="403">
        <f t="shared" si="29"/>
        <v>402733.09</v>
      </c>
      <c r="C1924" s="403">
        <v>402533.09</v>
      </c>
      <c r="D1924" s="596">
        <v>200</v>
      </c>
    </row>
    <row r="1925" spans="1:4" x14ac:dyDescent="0.2">
      <c r="A1925" s="416">
        <v>45047</v>
      </c>
      <c r="B1925" s="403">
        <f t="shared" ref="B1925:B1969" si="31">C1925+D1925</f>
        <v>403316.09</v>
      </c>
      <c r="C1925" s="403">
        <v>403116.09</v>
      </c>
      <c r="D1925" s="596">
        <v>200</v>
      </c>
    </row>
    <row r="1926" spans="1:4" x14ac:dyDescent="0.2">
      <c r="A1926" s="416">
        <v>45048</v>
      </c>
      <c r="B1926" s="403">
        <f t="shared" si="31"/>
        <v>403316.09</v>
      </c>
      <c r="C1926" s="403">
        <f t="shared" si="30"/>
        <v>403116.09</v>
      </c>
      <c r="D1926" s="596">
        <v>200</v>
      </c>
    </row>
    <row r="1927" spans="1:4" x14ac:dyDescent="0.2">
      <c r="A1927" s="416">
        <v>45049</v>
      </c>
      <c r="B1927" s="403">
        <f t="shared" si="31"/>
        <v>385876.12</v>
      </c>
      <c r="C1927" s="403">
        <v>385676.12</v>
      </c>
      <c r="D1927" s="596">
        <v>200</v>
      </c>
    </row>
    <row r="1928" spans="1:4" x14ac:dyDescent="0.2">
      <c r="A1928" s="416">
        <v>45050</v>
      </c>
      <c r="B1928" s="403">
        <f t="shared" si="31"/>
        <v>351812.45</v>
      </c>
      <c r="C1928" s="403">
        <v>351612.45</v>
      </c>
      <c r="D1928" s="596">
        <v>200</v>
      </c>
    </row>
    <row r="1929" spans="1:4" x14ac:dyDescent="0.2">
      <c r="A1929" s="416">
        <v>45051</v>
      </c>
      <c r="B1929" s="403">
        <f t="shared" si="31"/>
        <v>351812.45</v>
      </c>
      <c r="C1929" s="403">
        <f t="shared" si="30"/>
        <v>351612.45</v>
      </c>
      <c r="D1929" s="596">
        <v>200</v>
      </c>
    </row>
    <row r="1930" spans="1:4" x14ac:dyDescent="0.2">
      <c r="A1930" s="416">
        <v>45054</v>
      </c>
      <c r="B1930" s="403">
        <f t="shared" si="31"/>
        <v>368195.43</v>
      </c>
      <c r="C1930" s="403">
        <v>367995.43</v>
      </c>
      <c r="D1930" s="596">
        <v>200</v>
      </c>
    </row>
    <row r="1931" spans="1:4" x14ac:dyDescent="0.2">
      <c r="A1931" s="416">
        <v>45055</v>
      </c>
      <c r="B1931" s="403">
        <f t="shared" si="31"/>
        <v>368195.43</v>
      </c>
      <c r="C1931" s="403">
        <f t="shared" si="30"/>
        <v>367995.43</v>
      </c>
      <c r="D1931" s="596">
        <v>200</v>
      </c>
    </row>
    <row r="1932" spans="1:4" x14ac:dyDescent="0.2">
      <c r="A1932" s="416">
        <v>45056</v>
      </c>
      <c r="B1932" s="403">
        <f t="shared" si="31"/>
        <v>368195.43</v>
      </c>
      <c r="C1932" s="403">
        <f t="shared" si="30"/>
        <v>367995.43</v>
      </c>
      <c r="D1932" s="596">
        <v>200</v>
      </c>
    </row>
    <row r="1933" spans="1:4" x14ac:dyDescent="0.2">
      <c r="A1933" s="416">
        <v>45057</v>
      </c>
      <c r="B1933" s="403">
        <f t="shared" si="31"/>
        <v>368195.43</v>
      </c>
      <c r="C1933" s="403">
        <f t="shared" si="30"/>
        <v>367995.43</v>
      </c>
      <c r="D1933" s="596">
        <v>200</v>
      </c>
    </row>
    <row r="1934" spans="1:4" x14ac:dyDescent="0.2">
      <c r="A1934" s="416">
        <v>45058</v>
      </c>
      <c r="B1934" s="403">
        <f t="shared" si="31"/>
        <v>367810.83</v>
      </c>
      <c r="C1934" s="403">
        <v>367610.83</v>
      </c>
      <c r="D1934" s="596">
        <v>200</v>
      </c>
    </row>
    <row r="1935" spans="1:4" x14ac:dyDescent="0.2">
      <c r="A1935" s="416">
        <v>45061</v>
      </c>
      <c r="B1935" s="403">
        <f t="shared" si="31"/>
        <v>367851.39</v>
      </c>
      <c r="C1935" s="403">
        <v>367651.39</v>
      </c>
      <c r="D1935" s="596">
        <v>200</v>
      </c>
    </row>
    <row r="1936" spans="1:4" x14ac:dyDescent="0.2">
      <c r="A1936" s="416">
        <v>45062</v>
      </c>
      <c r="B1936" s="403">
        <f t="shared" si="31"/>
        <v>367851.39</v>
      </c>
      <c r="C1936" s="403">
        <f t="shared" si="30"/>
        <v>367651.39</v>
      </c>
      <c r="D1936" s="596">
        <v>200</v>
      </c>
    </row>
    <row r="1937" spans="1:4" x14ac:dyDescent="0.2">
      <c r="A1937" s="416">
        <v>45063</v>
      </c>
      <c r="B1937" s="403">
        <f t="shared" si="31"/>
        <v>367851.39</v>
      </c>
      <c r="C1937" s="403">
        <f t="shared" si="30"/>
        <v>367651.39</v>
      </c>
      <c r="D1937" s="596">
        <v>200</v>
      </c>
    </row>
    <row r="1938" spans="1:4" x14ac:dyDescent="0.2">
      <c r="A1938" s="416">
        <v>45064</v>
      </c>
      <c r="B1938" s="403">
        <f t="shared" si="31"/>
        <v>356642.57</v>
      </c>
      <c r="C1938" s="403">
        <v>356442.57</v>
      </c>
      <c r="D1938" s="596">
        <v>200</v>
      </c>
    </row>
    <row r="1939" spans="1:4" x14ac:dyDescent="0.2">
      <c r="A1939" s="416">
        <v>45065</v>
      </c>
      <c r="B1939" s="403">
        <f t="shared" si="31"/>
        <v>356642.57</v>
      </c>
      <c r="C1939" s="403">
        <f t="shared" si="30"/>
        <v>356442.57</v>
      </c>
      <c r="D1939" s="596">
        <v>200</v>
      </c>
    </row>
    <row r="1940" spans="1:4" x14ac:dyDescent="0.2">
      <c r="A1940" s="416">
        <v>45068</v>
      </c>
      <c r="B1940" s="403">
        <f t="shared" si="31"/>
        <v>308974.21000000002</v>
      </c>
      <c r="C1940" s="403">
        <v>308774.21000000002</v>
      </c>
      <c r="D1940" s="596">
        <v>200</v>
      </c>
    </row>
    <row r="1941" spans="1:4" x14ac:dyDescent="0.2">
      <c r="A1941" s="416">
        <v>45069</v>
      </c>
      <c r="B1941" s="403">
        <f t="shared" si="31"/>
        <v>338753.05</v>
      </c>
      <c r="C1941" s="403">
        <v>338553.05</v>
      </c>
      <c r="D1941" s="596">
        <v>200</v>
      </c>
    </row>
    <row r="1942" spans="1:4" x14ac:dyDescent="0.2">
      <c r="A1942" s="416">
        <v>45070</v>
      </c>
      <c r="B1942" s="403">
        <f t="shared" si="31"/>
        <v>391263.14</v>
      </c>
      <c r="C1942" s="403">
        <v>391063.14</v>
      </c>
      <c r="D1942" s="596">
        <v>200</v>
      </c>
    </row>
    <row r="1943" spans="1:4" x14ac:dyDescent="0.2">
      <c r="A1943" s="416">
        <v>45071</v>
      </c>
      <c r="B1943" s="403">
        <f t="shared" si="31"/>
        <v>391263.14</v>
      </c>
      <c r="C1943" s="403">
        <f t="shared" si="30"/>
        <v>391063.14</v>
      </c>
      <c r="D1943" s="596">
        <v>200</v>
      </c>
    </row>
    <row r="1944" spans="1:4" x14ac:dyDescent="0.2">
      <c r="A1944" s="416">
        <v>45072</v>
      </c>
      <c r="B1944" s="403">
        <f t="shared" si="31"/>
        <v>449119.47</v>
      </c>
      <c r="C1944" s="403">
        <v>448919.47</v>
      </c>
      <c r="D1944" s="596">
        <v>200</v>
      </c>
    </row>
    <row r="1945" spans="1:4" x14ac:dyDescent="0.2">
      <c r="A1945" s="416">
        <v>45075</v>
      </c>
      <c r="B1945" s="403">
        <f t="shared" si="31"/>
        <v>449119.47</v>
      </c>
      <c r="C1945" s="403">
        <f t="shared" si="30"/>
        <v>448919.47</v>
      </c>
      <c r="D1945" s="596">
        <v>200</v>
      </c>
    </row>
    <row r="1946" spans="1:4" x14ac:dyDescent="0.2">
      <c r="A1946" s="416">
        <v>45076</v>
      </c>
      <c r="B1946" s="403">
        <f t="shared" si="31"/>
        <v>448869.47</v>
      </c>
      <c r="C1946" s="403">
        <v>448669.47</v>
      </c>
      <c r="D1946" s="596">
        <v>200</v>
      </c>
    </row>
    <row r="1947" spans="1:4" x14ac:dyDescent="0.2">
      <c r="A1947" s="416">
        <v>45077</v>
      </c>
      <c r="B1947" s="403">
        <f t="shared" si="31"/>
        <v>448869.47</v>
      </c>
      <c r="C1947" s="403">
        <f t="shared" si="30"/>
        <v>448669.47</v>
      </c>
      <c r="D1947" s="596">
        <v>200</v>
      </c>
    </row>
    <row r="1948" spans="1:4" x14ac:dyDescent="0.2">
      <c r="A1948" s="416">
        <v>45078</v>
      </c>
      <c r="B1948" s="403">
        <f t="shared" si="31"/>
        <v>438853.17</v>
      </c>
      <c r="C1948" s="403">
        <v>438653.17</v>
      </c>
      <c r="D1948" s="596">
        <v>200</v>
      </c>
    </row>
    <row r="1949" spans="1:4" x14ac:dyDescent="0.2">
      <c r="A1949" s="416">
        <v>45079</v>
      </c>
      <c r="B1949" s="403">
        <f t="shared" si="31"/>
        <v>439117.17</v>
      </c>
      <c r="C1949" s="403">
        <v>438917.17</v>
      </c>
      <c r="D1949" s="596">
        <v>200</v>
      </c>
    </row>
    <row r="1950" spans="1:4" x14ac:dyDescent="0.2">
      <c r="A1950" s="416">
        <v>45082</v>
      </c>
      <c r="B1950" s="403">
        <f t="shared" si="31"/>
        <v>407163.47</v>
      </c>
      <c r="C1950" s="403">
        <v>406963.47</v>
      </c>
      <c r="D1950" s="596">
        <v>200</v>
      </c>
    </row>
    <row r="1951" spans="1:4" x14ac:dyDescent="0.2">
      <c r="A1951" s="416">
        <v>45083</v>
      </c>
      <c r="B1951" s="403">
        <f t="shared" si="31"/>
        <v>415855.1</v>
      </c>
      <c r="C1951" s="403">
        <v>415655.1</v>
      </c>
      <c r="D1951" s="596">
        <v>200</v>
      </c>
    </row>
    <row r="1952" spans="1:4" x14ac:dyDescent="0.2">
      <c r="A1952" s="416">
        <v>45084</v>
      </c>
      <c r="B1952" s="403">
        <f t="shared" si="31"/>
        <v>415855.1</v>
      </c>
      <c r="C1952" s="403">
        <f t="shared" ref="C1952:C1965" si="32">C1951</f>
        <v>415655.1</v>
      </c>
      <c r="D1952" s="596">
        <v>200</v>
      </c>
    </row>
    <row r="1953" spans="1:4" x14ac:dyDescent="0.2">
      <c r="A1953" s="416">
        <v>45085</v>
      </c>
      <c r="B1953" s="403">
        <f t="shared" si="31"/>
        <v>412361.18</v>
      </c>
      <c r="C1953" s="403">
        <v>412161.18</v>
      </c>
      <c r="D1953" s="596">
        <v>200</v>
      </c>
    </row>
    <row r="1954" spans="1:4" x14ac:dyDescent="0.2">
      <c r="A1954" s="416">
        <v>45086</v>
      </c>
      <c r="B1954" s="403">
        <f t="shared" si="31"/>
        <v>411976.58</v>
      </c>
      <c r="C1954" s="403">
        <v>411776.58</v>
      </c>
      <c r="D1954" s="596">
        <v>200</v>
      </c>
    </row>
    <row r="1955" spans="1:4" x14ac:dyDescent="0.2">
      <c r="A1955" s="416">
        <v>45089</v>
      </c>
      <c r="B1955" s="403">
        <f t="shared" si="31"/>
        <v>412491.58</v>
      </c>
      <c r="C1955" s="403">
        <v>412291.58</v>
      </c>
      <c r="D1955" s="596">
        <v>200</v>
      </c>
    </row>
    <row r="1956" spans="1:4" x14ac:dyDescent="0.2">
      <c r="A1956" s="416">
        <v>45090</v>
      </c>
      <c r="B1956" s="403">
        <f t="shared" si="31"/>
        <v>412491.58</v>
      </c>
      <c r="C1956" s="403">
        <f t="shared" si="32"/>
        <v>412291.58</v>
      </c>
      <c r="D1956" s="596">
        <v>200</v>
      </c>
    </row>
    <row r="1957" spans="1:4" x14ac:dyDescent="0.2">
      <c r="A1957" s="416">
        <v>45091</v>
      </c>
      <c r="B1957" s="403">
        <f t="shared" si="31"/>
        <v>412491.58</v>
      </c>
      <c r="C1957" s="403">
        <f t="shared" si="32"/>
        <v>412291.58</v>
      </c>
      <c r="D1957" s="596">
        <v>200</v>
      </c>
    </row>
    <row r="1958" spans="1:4" x14ac:dyDescent="0.2">
      <c r="A1958" s="416">
        <v>45092</v>
      </c>
      <c r="B1958" s="403">
        <f t="shared" si="31"/>
        <v>421884.75</v>
      </c>
      <c r="C1958" s="403">
        <v>421684.75</v>
      </c>
      <c r="D1958" s="596">
        <v>200</v>
      </c>
    </row>
    <row r="1959" spans="1:4" x14ac:dyDescent="0.2">
      <c r="A1959" s="416">
        <v>45093</v>
      </c>
      <c r="B1959" s="403">
        <f t="shared" si="31"/>
        <v>421884.75</v>
      </c>
      <c r="C1959" s="403">
        <f t="shared" si="32"/>
        <v>421684.75</v>
      </c>
      <c r="D1959" s="596">
        <v>200</v>
      </c>
    </row>
    <row r="1960" spans="1:4" x14ac:dyDescent="0.2">
      <c r="A1960" s="416">
        <v>45096</v>
      </c>
      <c r="B1960" s="403">
        <f t="shared" si="31"/>
        <v>422030.75</v>
      </c>
      <c r="C1960" s="403">
        <v>421830.75</v>
      </c>
      <c r="D1960" s="596">
        <v>200</v>
      </c>
    </row>
    <row r="1961" spans="1:4" x14ac:dyDescent="0.2">
      <c r="A1961" s="416">
        <v>45097</v>
      </c>
      <c r="B1961" s="403">
        <f t="shared" si="31"/>
        <v>384440.18</v>
      </c>
      <c r="C1961" s="403">
        <v>384240.18</v>
      </c>
      <c r="D1961" s="596">
        <v>200</v>
      </c>
    </row>
    <row r="1962" spans="1:4" x14ac:dyDescent="0.2">
      <c r="A1962" s="416">
        <v>45098</v>
      </c>
      <c r="B1962" s="403">
        <f t="shared" si="31"/>
        <v>383701.41</v>
      </c>
      <c r="C1962" s="403">
        <v>383501.41</v>
      </c>
      <c r="D1962" s="596">
        <v>200</v>
      </c>
    </row>
    <row r="1963" spans="1:4" x14ac:dyDescent="0.2">
      <c r="A1963" s="416">
        <v>45099</v>
      </c>
      <c r="B1963" s="403">
        <f t="shared" si="31"/>
        <v>384859.49</v>
      </c>
      <c r="C1963" s="403">
        <v>384659.49</v>
      </c>
      <c r="D1963" s="596">
        <v>200</v>
      </c>
    </row>
    <row r="1964" spans="1:4" x14ac:dyDescent="0.2">
      <c r="A1964" s="416">
        <v>45100</v>
      </c>
      <c r="B1964" s="403">
        <f t="shared" si="31"/>
        <v>412308.62</v>
      </c>
      <c r="C1964" s="403">
        <v>412108.62</v>
      </c>
      <c r="D1964" s="596">
        <v>200</v>
      </c>
    </row>
    <row r="1965" spans="1:4" x14ac:dyDescent="0.2">
      <c r="A1965" s="416">
        <v>45103</v>
      </c>
      <c r="B1965" s="403">
        <f t="shared" si="31"/>
        <v>412308.62</v>
      </c>
      <c r="C1965" s="403">
        <f t="shared" si="32"/>
        <v>412108.62</v>
      </c>
      <c r="D1965" s="596">
        <v>200</v>
      </c>
    </row>
    <row r="1966" spans="1:4" x14ac:dyDescent="0.2">
      <c r="A1966" s="416">
        <v>45104</v>
      </c>
      <c r="B1966" s="403">
        <f t="shared" si="31"/>
        <v>412282.92</v>
      </c>
      <c r="C1966" s="403">
        <v>412082.92</v>
      </c>
      <c r="D1966" s="596">
        <v>200</v>
      </c>
    </row>
    <row r="1967" spans="1:4" x14ac:dyDescent="0.2">
      <c r="A1967" s="416">
        <v>45105</v>
      </c>
      <c r="B1967" s="403">
        <f t="shared" si="31"/>
        <v>402422.58</v>
      </c>
      <c r="C1967" s="403">
        <v>402222.58</v>
      </c>
      <c r="D1967" s="596">
        <v>200</v>
      </c>
    </row>
    <row r="1968" spans="1:4" x14ac:dyDescent="0.2">
      <c r="A1968" s="416">
        <v>45106</v>
      </c>
      <c r="B1968" s="403">
        <f t="shared" si="31"/>
        <v>402266.7</v>
      </c>
      <c r="C1968" s="403">
        <v>402066.7</v>
      </c>
      <c r="D1968" s="596">
        <v>200</v>
      </c>
    </row>
    <row r="1969" spans="1:4" x14ac:dyDescent="0.2">
      <c r="A1969" s="416">
        <v>45107</v>
      </c>
      <c r="B1969" s="403">
        <f t="shared" si="31"/>
        <v>407981.99</v>
      </c>
      <c r="C1969" s="403">
        <v>407781.99</v>
      </c>
      <c r="D1969" s="596">
        <v>200</v>
      </c>
    </row>
    <row r="1970" spans="1:4" x14ac:dyDescent="0.2">
      <c r="A1970" s="416">
        <v>45110</v>
      </c>
      <c r="B1970" s="403">
        <f t="shared" ref="B1970:B2016" si="33">C1970+D1970</f>
        <v>373219.37</v>
      </c>
      <c r="C1970" s="403">
        <v>373019.37</v>
      </c>
      <c r="D1970" s="596">
        <v>200</v>
      </c>
    </row>
    <row r="1971" spans="1:4" x14ac:dyDescent="0.2">
      <c r="A1971" s="416">
        <v>45111</v>
      </c>
      <c r="B1971" s="403">
        <f t="shared" si="33"/>
        <v>373219.37</v>
      </c>
      <c r="C1971" s="403">
        <f>C1970</f>
        <v>373019.37</v>
      </c>
      <c r="D1971" s="596">
        <v>200</v>
      </c>
    </row>
    <row r="1972" spans="1:4" x14ac:dyDescent="0.2">
      <c r="A1972" s="416">
        <v>45112</v>
      </c>
      <c r="B1972" s="403">
        <f t="shared" si="33"/>
        <v>373219.37</v>
      </c>
      <c r="C1972" s="403">
        <f t="shared" ref="C1972:C2023" si="34">C1971</f>
        <v>373019.37</v>
      </c>
      <c r="D1972" s="596">
        <v>200</v>
      </c>
    </row>
    <row r="1973" spans="1:4" x14ac:dyDescent="0.2">
      <c r="A1973" s="416">
        <v>45113</v>
      </c>
      <c r="B1973" s="403">
        <f t="shared" si="33"/>
        <v>376696.27</v>
      </c>
      <c r="C1973" s="403">
        <v>376496.27</v>
      </c>
      <c r="D1973" s="596">
        <v>200</v>
      </c>
    </row>
    <row r="1974" spans="1:4" x14ac:dyDescent="0.2">
      <c r="A1974" s="416">
        <v>45114</v>
      </c>
      <c r="B1974" s="403">
        <f t="shared" si="33"/>
        <v>376906.67</v>
      </c>
      <c r="C1974" s="403">
        <v>376706.67</v>
      </c>
      <c r="D1974" s="596">
        <v>200</v>
      </c>
    </row>
    <row r="1975" spans="1:4" x14ac:dyDescent="0.2">
      <c r="A1975" s="416">
        <v>45117</v>
      </c>
      <c r="B1975" s="403">
        <f t="shared" si="33"/>
        <v>377111.67</v>
      </c>
      <c r="C1975" s="403">
        <v>376911.67</v>
      </c>
      <c r="D1975" s="596">
        <v>200</v>
      </c>
    </row>
    <row r="1976" spans="1:4" x14ac:dyDescent="0.2">
      <c r="A1976" s="416">
        <v>45118</v>
      </c>
      <c r="B1976" s="403">
        <f t="shared" si="33"/>
        <v>378617.91</v>
      </c>
      <c r="C1976" s="403">
        <v>378417.91</v>
      </c>
      <c r="D1976" s="596">
        <v>200</v>
      </c>
    </row>
    <row r="1977" spans="1:4" x14ac:dyDescent="0.2">
      <c r="A1977" s="416">
        <v>45119</v>
      </c>
      <c r="B1977" s="403">
        <f t="shared" si="33"/>
        <v>378999.91</v>
      </c>
      <c r="C1977" s="403">
        <v>378799.91</v>
      </c>
      <c r="D1977" s="596">
        <v>200</v>
      </c>
    </row>
    <row r="1978" spans="1:4" x14ac:dyDescent="0.2">
      <c r="A1978" s="416">
        <v>45120</v>
      </c>
      <c r="B1978" s="403">
        <f t="shared" si="33"/>
        <v>399013.52</v>
      </c>
      <c r="C1978" s="403">
        <v>398813.52</v>
      </c>
      <c r="D1978" s="596">
        <v>200</v>
      </c>
    </row>
    <row r="1979" spans="1:4" x14ac:dyDescent="0.2">
      <c r="A1979" s="416">
        <v>45121</v>
      </c>
      <c r="B1979" s="403">
        <f t="shared" si="33"/>
        <v>399052</v>
      </c>
      <c r="C1979" s="403">
        <v>398852</v>
      </c>
      <c r="D1979" s="596">
        <v>200</v>
      </c>
    </row>
    <row r="1980" spans="1:4" x14ac:dyDescent="0.2">
      <c r="A1980" s="416">
        <v>45124</v>
      </c>
      <c r="B1980" s="403">
        <f t="shared" si="33"/>
        <v>398802</v>
      </c>
      <c r="C1980" s="403">
        <v>398602</v>
      </c>
      <c r="D1980" s="596">
        <v>200</v>
      </c>
    </row>
    <row r="1981" spans="1:4" x14ac:dyDescent="0.2">
      <c r="A1981" s="416">
        <v>45125</v>
      </c>
      <c r="B1981" s="403">
        <f t="shared" si="33"/>
        <v>415884.95</v>
      </c>
      <c r="C1981" s="403">
        <v>415684.95</v>
      </c>
      <c r="D1981" s="596">
        <v>200</v>
      </c>
    </row>
    <row r="1982" spans="1:4" x14ac:dyDescent="0.2">
      <c r="A1982" s="416">
        <v>45126</v>
      </c>
      <c r="B1982" s="403">
        <f t="shared" si="33"/>
        <v>416084.95</v>
      </c>
      <c r="C1982" s="403">
        <v>415884.95</v>
      </c>
      <c r="D1982" s="596">
        <v>200</v>
      </c>
    </row>
    <row r="1983" spans="1:4" x14ac:dyDescent="0.2">
      <c r="A1983" s="416">
        <v>45127</v>
      </c>
      <c r="B1983" s="403">
        <f t="shared" si="33"/>
        <v>409180.98</v>
      </c>
      <c r="C1983" s="403">
        <v>408980.98</v>
      </c>
      <c r="D1983" s="596">
        <v>200</v>
      </c>
    </row>
    <row r="1984" spans="1:4" x14ac:dyDescent="0.2">
      <c r="A1984" s="416">
        <v>45128</v>
      </c>
      <c r="B1984" s="403">
        <f t="shared" si="33"/>
        <v>411006.01</v>
      </c>
      <c r="C1984" s="403">
        <v>410806.01</v>
      </c>
      <c r="D1984" s="596">
        <v>200</v>
      </c>
    </row>
    <row r="1985" spans="1:4" x14ac:dyDescent="0.2">
      <c r="A1985" s="416">
        <v>45131</v>
      </c>
      <c r="B1985" s="403">
        <f t="shared" si="33"/>
        <v>411445.54</v>
      </c>
      <c r="C1985" s="403">
        <v>411245.54</v>
      </c>
      <c r="D1985" s="596">
        <v>200</v>
      </c>
    </row>
    <row r="1986" spans="1:4" x14ac:dyDescent="0.2">
      <c r="A1986" s="416">
        <v>45132</v>
      </c>
      <c r="B1986" s="403">
        <f t="shared" si="33"/>
        <v>412425.15</v>
      </c>
      <c r="C1986" s="403">
        <v>412225.15</v>
      </c>
      <c r="D1986" s="596">
        <v>200</v>
      </c>
    </row>
    <row r="1987" spans="1:4" x14ac:dyDescent="0.2">
      <c r="A1987" s="416">
        <v>45133</v>
      </c>
      <c r="B1987" s="403">
        <f t="shared" si="33"/>
        <v>412425.15</v>
      </c>
      <c r="C1987" s="403">
        <f t="shared" si="34"/>
        <v>412225.15</v>
      </c>
      <c r="D1987" s="596">
        <v>200</v>
      </c>
    </row>
    <row r="1988" spans="1:4" x14ac:dyDescent="0.2">
      <c r="A1988" s="416">
        <v>45134</v>
      </c>
      <c r="B1988" s="403">
        <f t="shared" si="33"/>
        <v>387088.04</v>
      </c>
      <c r="C1988" s="403">
        <v>386888.04</v>
      </c>
      <c r="D1988" s="596">
        <v>200</v>
      </c>
    </row>
    <row r="1989" spans="1:4" x14ac:dyDescent="0.2">
      <c r="A1989" s="416">
        <v>45135</v>
      </c>
      <c r="B1989" s="403">
        <f t="shared" si="33"/>
        <v>405857.22</v>
      </c>
      <c r="C1989" s="403">
        <v>405657.22</v>
      </c>
      <c r="D1989" s="596">
        <v>200</v>
      </c>
    </row>
    <row r="1990" spans="1:4" x14ac:dyDescent="0.2">
      <c r="A1990" s="416">
        <v>45138</v>
      </c>
      <c r="B1990" s="403">
        <f t="shared" si="33"/>
        <v>404076.54</v>
      </c>
      <c r="C1990" s="403">
        <v>403876.54</v>
      </c>
      <c r="D1990" s="596">
        <v>200</v>
      </c>
    </row>
    <row r="1991" spans="1:4" x14ac:dyDescent="0.2">
      <c r="A1991" s="416">
        <v>45139</v>
      </c>
      <c r="B1991" s="403">
        <f t="shared" si="33"/>
        <v>390920.58</v>
      </c>
      <c r="C1991" s="403">
        <v>390720.58</v>
      </c>
      <c r="D1991" s="596">
        <v>200</v>
      </c>
    </row>
    <row r="1992" spans="1:4" x14ac:dyDescent="0.2">
      <c r="A1992" s="416">
        <v>45140</v>
      </c>
      <c r="B1992" s="403">
        <f t="shared" si="33"/>
        <v>390920.58</v>
      </c>
      <c r="C1992" s="403">
        <f t="shared" si="34"/>
        <v>390720.58</v>
      </c>
      <c r="D1992" s="596">
        <v>200</v>
      </c>
    </row>
    <row r="1993" spans="1:4" x14ac:dyDescent="0.2">
      <c r="A1993" s="416">
        <v>45141</v>
      </c>
      <c r="B1993" s="403">
        <f t="shared" si="33"/>
        <v>386738.53</v>
      </c>
      <c r="C1993" s="403">
        <v>386538.53</v>
      </c>
      <c r="D1993" s="596">
        <v>200</v>
      </c>
    </row>
    <row r="1994" spans="1:4" x14ac:dyDescent="0.2">
      <c r="A1994" s="416">
        <v>45142</v>
      </c>
      <c r="B1994" s="403">
        <f t="shared" si="33"/>
        <v>384493.66</v>
      </c>
      <c r="C1994" s="403">
        <v>384293.66</v>
      </c>
      <c r="D1994" s="596">
        <v>200</v>
      </c>
    </row>
    <row r="1995" spans="1:4" x14ac:dyDescent="0.2">
      <c r="A1995" s="416">
        <v>45145</v>
      </c>
      <c r="B1995" s="403">
        <f t="shared" si="33"/>
        <v>385493.66</v>
      </c>
      <c r="C1995" s="403">
        <v>385293.66</v>
      </c>
      <c r="D1995" s="596">
        <v>200</v>
      </c>
    </row>
    <row r="1996" spans="1:4" x14ac:dyDescent="0.2">
      <c r="A1996" s="416">
        <v>45146</v>
      </c>
      <c r="B1996" s="403">
        <f t="shared" si="33"/>
        <v>385493.66</v>
      </c>
      <c r="C1996" s="403">
        <f t="shared" si="34"/>
        <v>385293.66</v>
      </c>
      <c r="D1996" s="596">
        <v>200</v>
      </c>
    </row>
    <row r="1997" spans="1:4" x14ac:dyDescent="0.2">
      <c r="A1997" s="416">
        <v>45147</v>
      </c>
      <c r="B1997" s="403">
        <f t="shared" si="33"/>
        <v>385493.66</v>
      </c>
      <c r="C1997" s="403">
        <f t="shared" si="34"/>
        <v>385293.66</v>
      </c>
      <c r="D1997" s="596">
        <v>200</v>
      </c>
    </row>
    <row r="1998" spans="1:4" x14ac:dyDescent="0.2">
      <c r="A1998" s="416">
        <v>45148</v>
      </c>
      <c r="B1998" s="403">
        <f t="shared" si="33"/>
        <v>385493.66</v>
      </c>
      <c r="C1998" s="403">
        <f t="shared" si="34"/>
        <v>385293.66</v>
      </c>
      <c r="D1998" s="596">
        <v>200</v>
      </c>
    </row>
    <row r="1999" spans="1:4" x14ac:dyDescent="0.2">
      <c r="A1999" s="416">
        <v>45149</v>
      </c>
      <c r="B1999" s="403">
        <f t="shared" si="33"/>
        <v>386021.66</v>
      </c>
      <c r="C1999" s="403">
        <v>385821.66</v>
      </c>
      <c r="D1999" s="596">
        <v>200</v>
      </c>
    </row>
    <row r="2000" spans="1:4" x14ac:dyDescent="0.2">
      <c r="A2000" s="416">
        <v>45152</v>
      </c>
      <c r="B2000" s="403">
        <f t="shared" si="33"/>
        <v>406742.83</v>
      </c>
      <c r="C2000" s="403">
        <v>406542.83</v>
      </c>
      <c r="D2000" s="596">
        <v>200</v>
      </c>
    </row>
    <row r="2001" spans="1:4" x14ac:dyDescent="0.2">
      <c r="A2001" s="416">
        <v>45153</v>
      </c>
      <c r="B2001" s="403">
        <f t="shared" si="33"/>
        <v>370565.1</v>
      </c>
      <c r="C2001" s="403">
        <v>370365.1</v>
      </c>
      <c r="D2001" s="596">
        <v>200</v>
      </c>
    </row>
    <row r="2002" spans="1:4" x14ac:dyDescent="0.2">
      <c r="A2002" s="416">
        <v>45154</v>
      </c>
      <c r="B2002" s="403">
        <f t="shared" si="33"/>
        <v>370565.1</v>
      </c>
      <c r="C2002" s="403">
        <f t="shared" si="34"/>
        <v>370365.1</v>
      </c>
      <c r="D2002" s="596">
        <v>200</v>
      </c>
    </row>
    <row r="2003" spans="1:4" x14ac:dyDescent="0.2">
      <c r="A2003" s="416">
        <v>45155</v>
      </c>
      <c r="B2003" s="403">
        <f t="shared" si="33"/>
        <v>396789.54</v>
      </c>
      <c r="C2003" s="403">
        <v>396589.54</v>
      </c>
      <c r="D2003" s="596">
        <v>200</v>
      </c>
    </row>
    <row r="2004" spans="1:4" x14ac:dyDescent="0.2">
      <c r="A2004" s="416">
        <v>45156</v>
      </c>
      <c r="B2004" s="403">
        <f t="shared" si="33"/>
        <v>396404.94</v>
      </c>
      <c r="C2004" s="403">
        <v>396204.94</v>
      </c>
      <c r="D2004" s="596">
        <v>200</v>
      </c>
    </row>
    <row r="2005" spans="1:4" x14ac:dyDescent="0.2">
      <c r="A2005" s="416">
        <v>45159</v>
      </c>
      <c r="B2005" s="403">
        <f t="shared" si="33"/>
        <v>394335.05</v>
      </c>
      <c r="C2005" s="403">
        <v>394135.05</v>
      </c>
      <c r="D2005" s="596">
        <v>200</v>
      </c>
    </row>
    <row r="2006" spans="1:4" x14ac:dyDescent="0.2">
      <c r="A2006" s="416">
        <v>45160</v>
      </c>
      <c r="B2006" s="403">
        <f t="shared" si="33"/>
        <v>394335.05</v>
      </c>
      <c r="C2006" s="403">
        <f t="shared" si="34"/>
        <v>394135.05</v>
      </c>
      <c r="D2006" s="596">
        <v>200</v>
      </c>
    </row>
    <row r="2007" spans="1:4" x14ac:dyDescent="0.2">
      <c r="A2007" s="416">
        <v>45161</v>
      </c>
      <c r="B2007" s="403">
        <f t="shared" si="33"/>
        <v>394359.06</v>
      </c>
      <c r="C2007" s="403">
        <v>394159.06</v>
      </c>
      <c r="D2007" s="596">
        <v>200</v>
      </c>
    </row>
    <row r="2008" spans="1:4" x14ac:dyDescent="0.2">
      <c r="A2008" s="416">
        <v>45162</v>
      </c>
      <c r="B2008" s="403">
        <f t="shared" si="33"/>
        <v>388296.14</v>
      </c>
      <c r="C2008" s="403">
        <v>388096.14</v>
      </c>
      <c r="D2008" s="596">
        <v>200</v>
      </c>
    </row>
    <row r="2009" spans="1:4" x14ac:dyDescent="0.2">
      <c r="A2009" s="416">
        <v>45163</v>
      </c>
      <c r="B2009" s="403">
        <f t="shared" si="33"/>
        <v>388621.14</v>
      </c>
      <c r="C2009" s="403">
        <v>388421.14</v>
      </c>
      <c r="D2009" s="596">
        <v>200</v>
      </c>
    </row>
    <row r="2010" spans="1:4" x14ac:dyDescent="0.2">
      <c r="A2010" s="416">
        <v>45164</v>
      </c>
      <c r="B2010" s="403">
        <f t="shared" si="33"/>
        <v>388621.14</v>
      </c>
      <c r="C2010" s="403">
        <f t="shared" si="34"/>
        <v>388421.14</v>
      </c>
      <c r="D2010" s="596">
        <v>200</v>
      </c>
    </row>
    <row r="2011" spans="1:4" x14ac:dyDescent="0.2">
      <c r="A2011" s="416">
        <v>45165</v>
      </c>
      <c r="B2011" s="403">
        <f t="shared" si="33"/>
        <v>388621.14</v>
      </c>
      <c r="C2011" s="403">
        <f t="shared" si="34"/>
        <v>388421.14</v>
      </c>
      <c r="D2011" s="596">
        <v>200</v>
      </c>
    </row>
    <row r="2012" spans="1:4" x14ac:dyDescent="0.2">
      <c r="A2012" s="416">
        <v>45166</v>
      </c>
      <c r="B2012" s="403">
        <f t="shared" si="33"/>
        <v>350982.96</v>
      </c>
      <c r="C2012" s="403">
        <v>350782.96</v>
      </c>
      <c r="D2012" s="596">
        <v>200</v>
      </c>
    </row>
    <row r="2013" spans="1:4" x14ac:dyDescent="0.2">
      <c r="A2013" s="416">
        <v>45167</v>
      </c>
      <c r="B2013" s="403">
        <f t="shared" si="33"/>
        <v>451232.96</v>
      </c>
      <c r="C2013" s="403">
        <v>451032.96</v>
      </c>
      <c r="D2013" s="596">
        <v>200</v>
      </c>
    </row>
    <row r="2014" spans="1:4" x14ac:dyDescent="0.2">
      <c r="A2014" s="416">
        <v>45168</v>
      </c>
      <c r="B2014" s="403">
        <f t="shared" si="33"/>
        <v>499724.02</v>
      </c>
      <c r="C2014" s="403">
        <v>499524.02</v>
      </c>
      <c r="D2014" s="596">
        <v>200</v>
      </c>
    </row>
    <row r="2015" spans="1:4" x14ac:dyDescent="0.2">
      <c r="A2015" s="416">
        <v>45169</v>
      </c>
      <c r="B2015" s="403">
        <f t="shared" si="33"/>
        <v>519129.97</v>
      </c>
      <c r="C2015" s="403">
        <v>518929.97</v>
      </c>
      <c r="D2015" s="596">
        <v>200</v>
      </c>
    </row>
    <row r="2016" spans="1:4" x14ac:dyDescent="0.2">
      <c r="A2016" s="416">
        <v>45170</v>
      </c>
      <c r="B2016" s="403">
        <f t="shared" si="33"/>
        <v>494825.52</v>
      </c>
      <c r="C2016" s="403">
        <v>494625.52</v>
      </c>
      <c r="D2016" s="596">
        <v>200</v>
      </c>
    </row>
    <row r="2017" spans="1:4" x14ac:dyDescent="0.2">
      <c r="A2017" s="416">
        <v>45171</v>
      </c>
      <c r="B2017" s="403">
        <f t="shared" ref="B2017:B2023" si="35">C2017+D2017</f>
        <v>494825.52</v>
      </c>
      <c r="C2017" s="403">
        <f t="shared" si="34"/>
        <v>494625.52</v>
      </c>
      <c r="D2017" s="596">
        <v>200</v>
      </c>
    </row>
    <row r="2018" spans="1:4" x14ac:dyDescent="0.2">
      <c r="A2018" s="416">
        <v>45172</v>
      </c>
      <c r="B2018" s="403">
        <f t="shared" si="35"/>
        <v>494825.52</v>
      </c>
      <c r="C2018" s="403">
        <f t="shared" si="34"/>
        <v>494625.52</v>
      </c>
      <c r="D2018" s="596">
        <v>200</v>
      </c>
    </row>
    <row r="2019" spans="1:4" x14ac:dyDescent="0.2">
      <c r="A2019" s="416">
        <v>45173</v>
      </c>
      <c r="B2019" s="403">
        <f t="shared" si="35"/>
        <v>494825.52</v>
      </c>
      <c r="C2019" s="403">
        <f t="shared" si="34"/>
        <v>494625.52</v>
      </c>
      <c r="D2019" s="596">
        <v>200</v>
      </c>
    </row>
    <row r="2020" spans="1:4" x14ac:dyDescent="0.2">
      <c r="A2020" s="416">
        <v>45174</v>
      </c>
      <c r="B2020" s="403">
        <f t="shared" si="35"/>
        <v>494875.52</v>
      </c>
      <c r="C2020" s="403">
        <v>494675.52</v>
      </c>
      <c r="D2020" s="596">
        <v>200</v>
      </c>
    </row>
    <row r="2021" spans="1:4" x14ac:dyDescent="0.2">
      <c r="A2021" s="416">
        <v>45175</v>
      </c>
      <c r="B2021" s="403">
        <f t="shared" si="35"/>
        <v>492868.56</v>
      </c>
      <c r="C2021" s="403">
        <v>492668.56</v>
      </c>
      <c r="D2021" s="596">
        <v>200</v>
      </c>
    </row>
    <row r="2022" spans="1:4" x14ac:dyDescent="0.2">
      <c r="A2022" s="416">
        <v>45176</v>
      </c>
      <c r="B2022" s="403">
        <f t="shared" si="35"/>
        <v>492868.56</v>
      </c>
      <c r="C2022" s="403">
        <f t="shared" si="34"/>
        <v>492668.56</v>
      </c>
      <c r="D2022" s="596">
        <v>200</v>
      </c>
    </row>
    <row r="2023" spans="1:4" x14ac:dyDescent="0.2">
      <c r="A2023" s="416">
        <v>45177</v>
      </c>
      <c r="B2023" s="403">
        <f t="shared" si="35"/>
        <v>492868.56</v>
      </c>
      <c r="C2023" s="403">
        <f t="shared" si="34"/>
        <v>492668.56</v>
      </c>
      <c r="D2023" s="596">
        <v>200</v>
      </c>
    </row>
    <row r="2024" spans="1:4" x14ac:dyDescent="0.2">
      <c r="A2024" s="416">
        <v>45180</v>
      </c>
      <c r="B2024" s="403">
        <f t="shared" ref="B2024:B2060" si="36">C2024+D2024</f>
        <v>494218.56</v>
      </c>
      <c r="C2024" s="403">
        <v>494018.56</v>
      </c>
      <c r="D2024" s="596">
        <v>200</v>
      </c>
    </row>
    <row r="2025" spans="1:4" x14ac:dyDescent="0.2">
      <c r="A2025" s="416">
        <v>45181</v>
      </c>
      <c r="B2025" s="403">
        <f t="shared" si="36"/>
        <v>452326.96</v>
      </c>
      <c r="C2025" s="403">
        <v>452126.96</v>
      </c>
      <c r="D2025" s="596">
        <v>200</v>
      </c>
    </row>
    <row r="2026" spans="1:4" x14ac:dyDescent="0.2">
      <c r="A2026" s="416">
        <v>45182</v>
      </c>
      <c r="B2026" s="403">
        <f t="shared" si="36"/>
        <v>475248.53</v>
      </c>
      <c r="C2026" s="403">
        <v>475048.53</v>
      </c>
      <c r="D2026" s="596">
        <v>200</v>
      </c>
    </row>
    <row r="2027" spans="1:4" x14ac:dyDescent="0.2">
      <c r="A2027" s="416">
        <v>45183</v>
      </c>
      <c r="B2027" s="403">
        <f t="shared" si="36"/>
        <v>485579.7</v>
      </c>
      <c r="C2027" s="403">
        <v>485379.7</v>
      </c>
      <c r="D2027" s="596">
        <v>200</v>
      </c>
    </row>
    <row r="2028" spans="1:4" x14ac:dyDescent="0.2">
      <c r="A2028" s="416">
        <v>45184</v>
      </c>
      <c r="B2028" s="403">
        <f t="shared" si="36"/>
        <v>483237.86</v>
      </c>
      <c r="C2028" s="403">
        <v>483037.86</v>
      </c>
      <c r="D2028" s="596">
        <v>200</v>
      </c>
    </row>
    <row r="2029" spans="1:4" x14ac:dyDescent="0.2">
      <c r="A2029" s="416">
        <v>45187</v>
      </c>
      <c r="B2029" s="403">
        <f t="shared" si="36"/>
        <v>482174.8</v>
      </c>
      <c r="C2029" s="403">
        <v>481974.8</v>
      </c>
      <c r="D2029" s="596">
        <v>200</v>
      </c>
    </row>
    <row r="2030" spans="1:4" x14ac:dyDescent="0.2">
      <c r="A2030" s="416">
        <v>45188</v>
      </c>
      <c r="B2030" s="403">
        <f t="shared" si="36"/>
        <v>482199.8</v>
      </c>
      <c r="C2030" s="403">
        <v>481999.8</v>
      </c>
      <c r="D2030" s="596">
        <v>200</v>
      </c>
    </row>
    <row r="2031" spans="1:4" x14ac:dyDescent="0.2">
      <c r="A2031" s="416">
        <v>45189</v>
      </c>
      <c r="B2031" s="403">
        <f t="shared" si="36"/>
        <v>479406.91</v>
      </c>
      <c r="C2031" s="403">
        <v>479206.91</v>
      </c>
      <c r="D2031" s="596">
        <v>200</v>
      </c>
    </row>
    <row r="2032" spans="1:4" x14ac:dyDescent="0.2">
      <c r="A2032" s="416">
        <v>45190</v>
      </c>
      <c r="B2032" s="403">
        <f t="shared" si="36"/>
        <v>470500.67</v>
      </c>
      <c r="C2032" s="403">
        <v>470300.67</v>
      </c>
      <c r="D2032" s="596">
        <v>200</v>
      </c>
    </row>
    <row r="2033" spans="1:4" x14ac:dyDescent="0.2">
      <c r="A2033" s="416">
        <v>45191</v>
      </c>
      <c r="B2033" s="403">
        <f t="shared" si="36"/>
        <v>472716.17</v>
      </c>
      <c r="C2033" s="403">
        <v>472516.17</v>
      </c>
      <c r="D2033" s="596">
        <v>200</v>
      </c>
    </row>
    <row r="2034" spans="1:4" x14ac:dyDescent="0.2">
      <c r="A2034" s="416">
        <v>45194</v>
      </c>
      <c r="B2034" s="403">
        <f t="shared" si="36"/>
        <v>433269.34</v>
      </c>
      <c r="C2034" s="403">
        <v>433069.34</v>
      </c>
      <c r="D2034" s="596">
        <v>200</v>
      </c>
    </row>
    <row r="2035" spans="1:4" x14ac:dyDescent="0.2">
      <c r="A2035" s="416">
        <v>45195</v>
      </c>
      <c r="B2035" s="403">
        <f t="shared" si="36"/>
        <v>433243.64</v>
      </c>
      <c r="C2035" s="403">
        <v>433043.64</v>
      </c>
      <c r="D2035" s="596">
        <v>200</v>
      </c>
    </row>
    <row r="2036" spans="1:4" x14ac:dyDescent="0.2">
      <c r="A2036" s="416">
        <v>45196</v>
      </c>
      <c r="B2036" s="403">
        <f t="shared" si="36"/>
        <v>469337.63</v>
      </c>
      <c r="C2036" s="403">
        <v>469137.63</v>
      </c>
      <c r="D2036" s="596">
        <v>200</v>
      </c>
    </row>
    <row r="2037" spans="1:4" x14ac:dyDescent="0.2">
      <c r="A2037" s="416">
        <v>45197</v>
      </c>
      <c r="B2037" s="403">
        <f t="shared" si="36"/>
        <v>469337.63</v>
      </c>
      <c r="C2037" s="403">
        <f t="shared" ref="C2037:C2099" si="37">C2036</f>
        <v>469137.63</v>
      </c>
      <c r="D2037" s="596">
        <v>200</v>
      </c>
    </row>
    <row r="2038" spans="1:4" x14ac:dyDescent="0.2">
      <c r="A2038" s="416">
        <v>45198</v>
      </c>
      <c r="B2038" s="403">
        <f t="shared" si="36"/>
        <v>468953.03</v>
      </c>
      <c r="C2038" s="403">
        <v>468753.03</v>
      </c>
      <c r="D2038" s="596">
        <v>200</v>
      </c>
    </row>
    <row r="2039" spans="1:4" x14ac:dyDescent="0.2">
      <c r="A2039" s="416">
        <v>45201</v>
      </c>
      <c r="B2039" s="403">
        <f t="shared" si="36"/>
        <v>459905.29</v>
      </c>
      <c r="C2039" s="403">
        <v>459705.29</v>
      </c>
      <c r="D2039" s="596">
        <v>200</v>
      </c>
    </row>
    <row r="2040" spans="1:4" x14ac:dyDescent="0.2">
      <c r="A2040" s="416">
        <v>45202</v>
      </c>
      <c r="B2040" s="403">
        <f t="shared" si="36"/>
        <v>459905.29</v>
      </c>
      <c r="C2040" s="403">
        <f t="shared" si="37"/>
        <v>459705.29</v>
      </c>
      <c r="D2040" s="596">
        <v>200</v>
      </c>
    </row>
    <row r="2041" spans="1:4" x14ac:dyDescent="0.2">
      <c r="A2041" s="416">
        <v>45203</v>
      </c>
      <c r="B2041" s="403">
        <f t="shared" si="36"/>
        <v>459905.29</v>
      </c>
      <c r="C2041" s="403">
        <f t="shared" si="37"/>
        <v>459705.29</v>
      </c>
      <c r="D2041" s="596">
        <v>200</v>
      </c>
    </row>
    <row r="2042" spans="1:4" x14ac:dyDescent="0.2">
      <c r="A2042" s="416">
        <v>45204</v>
      </c>
      <c r="B2042" s="403">
        <f t="shared" si="36"/>
        <v>459905.29</v>
      </c>
      <c r="C2042" s="403">
        <f t="shared" si="37"/>
        <v>459705.29</v>
      </c>
      <c r="D2042" s="596">
        <v>200</v>
      </c>
    </row>
    <row r="2043" spans="1:4" x14ac:dyDescent="0.2">
      <c r="A2043" s="416">
        <v>45205</v>
      </c>
      <c r="B2043" s="403">
        <f t="shared" si="36"/>
        <v>459905.29</v>
      </c>
      <c r="C2043" s="403">
        <f t="shared" si="37"/>
        <v>459705.29</v>
      </c>
      <c r="D2043" s="596">
        <v>200</v>
      </c>
    </row>
    <row r="2044" spans="1:4" x14ac:dyDescent="0.2">
      <c r="A2044" s="416">
        <v>45208</v>
      </c>
      <c r="B2044" s="403">
        <f t="shared" si="36"/>
        <v>459905.29</v>
      </c>
      <c r="C2044" s="403">
        <f t="shared" si="37"/>
        <v>459705.29</v>
      </c>
      <c r="D2044" s="596">
        <v>200</v>
      </c>
    </row>
    <row r="2045" spans="1:4" x14ac:dyDescent="0.2">
      <c r="A2045" s="416">
        <v>45209</v>
      </c>
      <c r="B2045" s="403">
        <f t="shared" si="36"/>
        <v>423446.93</v>
      </c>
      <c r="C2045" s="403">
        <v>423246.93</v>
      </c>
      <c r="D2045" s="596">
        <v>200</v>
      </c>
    </row>
    <row r="2046" spans="1:4" x14ac:dyDescent="0.2">
      <c r="A2046" s="416">
        <v>45210</v>
      </c>
      <c r="B2046" s="403">
        <f t="shared" si="36"/>
        <v>423446.93</v>
      </c>
      <c r="C2046" s="403">
        <f t="shared" si="37"/>
        <v>423246.93</v>
      </c>
      <c r="D2046" s="596">
        <v>200</v>
      </c>
    </row>
    <row r="2047" spans="1:4" x14ac:dyDescent="0.2">
      <c r="A2047" s="416">
        <v>45211</v>
      </c>
      <c r="B2047" s="403">
        <f t="shared" si="36"/>
        <v>407711.69</v>
      </c>
      <c r="C2047" s="403">
        <v>407511.69</v>
      </c>
      <c r="D2047" s="596">
        <v>200</v>
      </c>
    </row>
    <row r="2048" spans="1:4" x14ac:dyDescent="0.2">
      <c r="A2048" s="416">
        <v>45212</v>
      </c>
      <c r="B2048" s="403">
        <f t="shared" si="36"/>
        <v>407733.05</v>
      </c>
      <c r="C2048" s="403">
        <v>407533.05</v>
      </c>
      <c r="D2048" s="596">
        <v>200</v>
      </c>
    </row>
    <row r="2049" spans="1:4" x14ac:dyDescent="0.2">
      <c r="A2049" s="416">
        <v>45215</v>
      </c>
      <c r="B2049" s="403">
        <f t="shared" si="36"/>
        <v>409787.27</v>
      </c>
      <c r="C2049" s="403">
        <v>409587.27</v>
      </c>
      <c r="D2049" s="596">
        <v>200</v>
      </c>
    </row>
    <row r="2050" spans="1:4" x14ac:dyDescent="0.2">
      <c r="A2050" s="416">
        <v>45216</v>
      </c>
      <c r="B2050" s="403">
        <f t="shared" si="36"/>
        <v>409787.27</v>
      </c>
      <c r="C2050" s="403">
        <f t="shared" si="37"/>
        <v>409587.27</v>
      </c>
      <c r="D2050" s="596">
        <v>200</v>
      </c>
    </row>
    <row r="2051" spans="1:4" x14ac:dyDescent="0.2">
      <c r="A2051" s="416">
        <v>45217</v>
      </c>
      <c r="B2051" s="403">
        <f t="shared" si="36"/>
        <v>410017.27</v>
      </c>
      <c r="C2051" s="403">
        <v>409817.27</v>
      </c>
      <c r="D2051" s="596">
        <v>200</v>
      </c>
    </row>
    <row r="2052" spans="1:4" x14ac:dyDescent="0.2">
      <c r="A2052" s="416">
        <v>45218</v>
      </c>
      <c r="B2052" s="403">
        <f t="shared" si="36"/>
        <v>418625.7</v>
      </c>
      <c r="C2052" s="403">
        <v>418425.7</v>
      </c>
      <c r="D2052" s="596">
        <v>200</v>
      </c>
    </row>
    <row r="2053" spans="1:4" x14ac:dyDescent="0.2">
      <c r="A2053" s="416">
        <v>45219</v>
      </c>
      <c r="B2053" s="403">
        <f t="shared" si="36"/>
        <v>418550.7</v>
      </c>
      <c r="C2053" s="403">
        <v>418350.7</v>
      </c>
      <c r="D2053" s="596">
        <v>200</v>
      </c>
    </row>
    <row r="2054" spans="1:4" x14ac:dyDescent="0.2">
      <c r="A2054" s="416">
        <v>45222</v>
      </c>
      <c r="B2054" s="403">
        <f t="shared" si="36"/>
        <v>381523.11</v>
      </c>
      <c r="C2054" s="403">
        <v>381323.11</v>
      </c>
      <c r="D2054" s="596">
        <v>200</v>
      </c>
    </row>
    <row r="2055" spans="1:4" x14ac:dyDescent="0.2">
      <c r="A2055" s="416">
        <v>45223</v>
      </c>
      <c r="B2055" s="403">
        <f t="shared" si="36"/>
        <v>381523.11</v>
      </c>
      <c r="C2055" s="403">
        <f t="shared" si="37"/>
        <v>381323.11</v>
      </c>
      <c r="D2055" s="596">
        <v>200</v>
      </c>
    </row>
    <row r="2056" spans="1:4" x14ac:dyDescent="0.2">
      <c r="A2056" s="416">
        <v>45224</v>
      </c>
      <c r="B2056" s="403">
        <f t="shared" si="36"/>
        <v>381523.11</v>
      </c>
      <c r="C2056" s="403">
        <f t="shared" si="37"/>
        <v>381323.11</v>
      </c>
      <c r="D2056" s="596">
        <v>200</v>
      </c>
    </row>
    <row r="2057" spans="1:4" x14ac:dyDescent="0.2">
      <c r="A2057" s="416">
        <v>45225</v>
      </c>
      <c r="B2057" s="403">
        <f t="shared" si="36"/>
        <v>381909.52</v>
      </c>
      <c r="C2057" s="403">
        <v>381709.52</v>
      </c>
      <c r="D2057" s="596">
        <v>200</v>
      </c>
    </row>
    <row r="2058" spans="1:4" x14ac:dyDescent="0.2">
      <c r="A2058" s="416">
        <v>45226</v>
      </c>
      <c r="B2058" s="403">
        <f t="shared" si="36"/>
        <v>381524.92</v>
      </c>
      <c r="C2058" s="403">
        <v>381324.92</v>
      </c>
      <c r="D2058" s="596">
        <v>200</v>
      </c>
    </row>
    <row r="2059" spans="1:4" x14ac:dyDescent="0.2">
      <c r="A2059" s="416">
        <v>45229</v>
      </c>
      <c r="B2059" s="403">
        <f t="shared" si="36"/>
        <v>381524.92</v>
      </c>
      <c r="C2059" s="403">
        <f t="shared" si="37"/>
        <v>381324.92</v>
      </c>
      <c r="D2059" s="596">
        <v>200</v>
      </c>
    </row>
    <row r="2060" spans="1:4" x14ac:dyDescent="0.2">
      <c r="A2060" s="416">
        <v>45230</v>
      </c>
      <c r="B2060" s="403">
        <f t="shared" si="36"/>
        <v>403601.43</v>
      </c>
      <c r="C2060" s="403">
        <v>403401.43</v>
      </c>
      <c r="D2060" s="596">
        <v>200</v>
      </c>
    </row>
    <row r="2061" spans="1:4" x14ac:dyDescent="0.2">
      <c r="A2061" s="416">
        <v>45231</v>
      </c>
      <c r="B2061" s="403">
        <f t="shared" ref="B2061:B2103" si="38">C2061+D2061</f>
        <v>403601.43</v>
      </c>
      <c r="C2061" s="403">
        <f t="shared" si="37"/>
        <v>403401.43</v>
      </c>
      <c r="D2061" s="596">
        <v>200</v>
      </c>
    </row>
    <row r="2062" spans="1:4" x14ac:dyDescent="0.2">
      <c r="A2062" s="416">
        <v>45232</v>
      </c>
      <c r="B2062" s="403">
        <f t="shared" si="38"/>
        <v>388696.73</v>
      </c>
      <c r="C2062" s="403">
        <v>388496.73</v>
      </c>
      <c r="D2062" s="596">
        <v>200</v>
      </c>
    </row>
    <row r="2063" spans="1:4" x14ac:dyDescent="0.2">
      <c r="A2063" s="416">
        <v>45233</v>
      </c>
      <c r="B2063" s="403">
        <f t="shared" si="38"/>
        <v>388696.73</v>
      </c>
      <c r="C2063" s="403">
        <f t="shared" si="37"/>
        <v>388496.73</v>
      </c>
      <c r="D2063" s="596">
        <v>200</v>
      </c>
    </row>
    <row r="2064" spans="1:4" x14ac:dyDescent="0.2">
      <c r="A2064" s="416">
        <v>45236</v>
      </c>
      <c r="B2064" s="403">
        <f t="shared" si="38"/>
        <v>354074.98</v>
      </c>
      <c r="C2064" s="403">
        <v>353874.98</v>
      </c>
      <c r="D2064" s="596">
        <v>200</v>
      </c>
    </row>
    <row r="2065" spans="1:4" x14ac:dyDescent="0.2">
      <c r="A2065" s="416">
        <v>45237</v>
      </c>
      <c r="B2065" s="403">
        <f t="shared" si="38"/>
        <v>354074.98</v>
      </c>
      <c r="C2065" s="403">
        <f t="shared" si="37"/>
        <v>353874.98</v>
      </c>
      <c r="D2065" s="596">
        <v>200</v>
      </c>
    </row>
    <row r="2066" spans="1:4" x14ac:dyDescent="0.2">
      <c r="A2066" s="416">
        <v>45238</v>
      </c>
      <c r="B2066" s="403">
        <f t="shared" si="38"/>
        <v>412115.27</v>
      </c>
      <c r="C2066" s="403">
        <v>411915.27</v>
      </c>
      <c r="D2066" s="596">
        <v>200</v>
      </c>
    </row>
    <row r="2067" spans="1:4" x14ac:dyDescent="0.2">
      <c r="A2067" s="416">
        <v>45239</v>
      </c>
      <c r="B2067" s="403">
        <f t="shared" si="38"/>
        <v>421170.44</v>
      </c>
      <c r="C2067" s="403">
        <v>420970.44</v>
      </c>
      <c r="D2067" s="596">
        <v>200</v>
      </c>
    </row>
    <row r="2068" spans="1:4" x14ac:dyDescent="0.2">
      <c r="A2068" s="416">
        <v>45240</v>
      </c>
      <c r="B2068" s="403">
        <f t="shared" si="38"/>
        <v>443466.68</v>
      </c>
      <c r="C2068" s="403">
        <v>443266.68</v>
      </c>
      <c r="D2068" s="596">
        <v>200</v>
      </c>
    </row>
    <row r="2069" spans="1:4" x14ac:dyDescent="0.2">
      <c r="A2069" s="416">
        <v>45243</v>
      </c>
      <c r="B2069" s="403">
        <f t="shared" si="38"/>
        <v>443466.68</v>
      </c>
      <c r="C2069" s="403">
        <f t="shared" si="37"/>
        <v>443266.68</v>
      </c>
      <c r="D2069" s="596">
        <v>200</v>
      </c>
    </row>
    <row r="2070" spans="1:4" x14ac:dyDescent="0.2">
      <c r="A2070" s="416">
        <v>45244</v>
      </c>
      <c r="B2070" s="403">
        <f t="shared" si="38"/>
        <v>443467.28</v>
      </c>
      <c r="C2070" s="403">
        <v>443267.28</v>
      </c>
      <c r="D2070" s="596">
        <v>200</v>
      </c>
    </row>
    <row r="2071" spans="1:4" x14ac:dyDescent="0.2">
      <c r="A2071" s="416">
        <v>45245</v>
      </c>
      <c r="B2071" s="403">
        <f t="shared" si="38"/>
        <v>467133.83</v>
      </c>
      <c r="C2071" s="403">
        <v>466933.83</v>
      </c>
      <c r="D2071" s="596">
        <v>200</v>
      </c>
    </row>
    <row r="2072" spans="1:4" x14ac:dyDescent="0.2">
      <c r="A2072" s="416">
        <v>45246</v>
      </c>
      <c r="B2072" s="403">
        <f t="shared" si="38"/>
        <v>457231.63</v>
      </c>
      <c r="C2072" s="403">
        <v>457031.63</v>
      </c>
      <c r="D2072" s="596">
        <v>200</v>
      </c>
    </row>
    <row r="2073" spans="1:4" x14ac:dyDescent="0.2">
      <c r="A2073" s="416">
        <v>45247</v>
      </c>
      <c r="B2073" s="403">
        <f t="shared" si="38"/>
        <v>457180.17</v>
      </c>
      <c r="C2073" s="403">
        <v>456980.17</v>
      </c>
      <c r="D2073" s="596">
        <v>200</v>
      </c>
    </row>
    <row r="2074" spans="1:4" x14ac:dyDescent="0.2">
      <c r="A2074" s="416">
        <v>45250</v>
      </c>
      <c r="B2074" s="403">
        <f t="shared" si="38"/>
        <v>413685.69</v>
      </c>
      <c r="C2074" s="403">
        <v>413485.69</v>
      </c>
      <c r="D2074" s="596">
        <v>200</v>
      </c>
    </row>
    <row r="2075" spans="1:4" x14ac:dyDescent="0.2">
      <c r="A2075" s="416">
        <v>45251</v>
      </c>
      <c r="B2075" s="403">
        <f t="shared" si="38"/>
        <v>413685.69</v>
      </c>
      <c r="C2075" s="403">
        <f t="shared" si="37"/>
        <v>413485.69</v>
      </c>
      <c r="D2075" s="596">
        <v>200</v>
      </c>
    </row>
    <row r="2076" spans="1:4" x14ac:dyDescent="0.2">
      <c r="A2076" s="416">
        <v>45252</v>
      </c>
      <c r="B2076" s="403">
        <f t="shared" si="38"/>
        <v>414169.69</v>
      </c>
      <c r="C2076" s="403">
        <v>413969.69</v>
      </c>
      <c r="D2076" s="596">
        <v>200</v>
      </c>
    </row>
    <row r="2077" spans="1:4" x14ac:dyDescent="0.2">
      <c r="A2077" s="416">
        <v>45253</v>
      </c>
      <c r="B2077" s="403">
        <f t="shared" si="38"/>
        <v>414169.69</v>
      </c>
      <c r="C2077" s="403">
        <f t="shared" si="37"/>
        <v>413969.69</v>
      </c>
      <c r="D2077" s="596">
        <v>200</v>
      </c>
    </row>
    <row r="2078" spans="1:4" x14ac:dyDescent="0.2">
      <c r="A2078" s="416">
        <v>45254</v>
      </c>
      <c r="B2078" s="403">
        <f t="shared" si="38"/>
        <v>413785.09</v>
      </c>
      <c r="C2078" s="403">
        <v>413585.09</v>
      </c>
      <c r="D2078" s="596">
        <v>200</v>
      </c>
    </row>
    <row r="2079" spans="1:4" x14ac:dyDescent="0.2">
      <c r="A2079" s="416">
        <v>45257</v>
      </c>
      <c r="B2079" s="403">
        <f t="shared" si="38"/>
        <v>413785.09</v>
      </c>
      <c r="C2079" s="403">
        <f t="shared" si="37"/>
        <v>413585.09</v>
      </c>
      <c r="D2079" s="596">
        <v>200</v>
      </c>
    </row>
    <row r="2080" spans="1:4" x14ac:dyDescent="0.2">
      <c r="A2080" s="416">
        <v>45258</v>
      </c>
      <c r="B2080" s="403">
        <f t="shared" si="38"/>
        <v>413647.44</v>
      </c>
      <c r="C2080" s="403">
        <v>413447.44</v>
      </c>
      <c r="D2080" s="596">
        <v>200</v>
      </c>
    </row>
    <row r="2081" spans="1:4" x14ac:dyDescent="0.2">
      <c r="A2081" s="416">
        <v>45259</v>
      </c>
      <c r="B2081" s="403">
        <f t="shared" si="38"/>
        <v>413647.44</v>
      </c>
      <c r="C2081" s="403">
        <f t="shared" si="37"/>
        <v>413447.44</v>
      </c>
      <c r="D2081" s="596">
        <v>200</v>
      </c>
    </row>
    <row r="2082" spans="1:4" x14ac:dyDescent="0.2">
      <c r="A2082" s="416">
        <v>45260</v>
      </c>
      <c r="B2082" s="403">
        <f t="shared" si="38"/>
        <v>456909.26</v>
      </c>
      <c r="C2082" s="403">
        <v>456709.26</v>
      </c>
      <c r="D2082" s="596">
        <v>200</v>
      </c>
    </row>
    <row r="2083" spans="1:4" x14ac:dyDescent="0.2">
      <c r="A2083" s="416">
        <v>45261</v>
      </c>
      <c r="B2083" s="403">
        <f t="shared" si="38"/>
        <v>456909.26</v>
      </c>
      <c r="C2083" s="403">
        <f t="shared" si="37"/>
        <v>456709.26</v>
      </c>
      <c r="D2083" s="596">
        <v>200</v>
      </c>
    </row>
    <row r="2084" spans="1:4" x14ac:dyDescent="0.2">
      <c r="A2084" s="416">
        <v>45264</v>
      </c>
      <c r="B2084" s="403">
        <f t="shared" si="38"/>
        <v>420452.25</v>
      </c>
      <c r="C2084" s="403">
        <v>420252.25</v>
      </c>
      <c r="D2084" s="596">
        <v>200</v>
      </c>
    </row>
    <row r="2085" spans="1:4" x14ac:dyDescent="0.2">
      <c r="A2085" s="416">
        <v>45265</v>
      </c>
      <c r="B2085" s="403">
        <f t="shared" si="38"/>
        <v>420452.25</v>
      </c>
      <c r="C2085" s="403">
        <f t="shared" si="37"/>
        <v>420252.25</v>
      </c>
      <c r="D2085" s="596">
        <v>200</v>
      </c>
    </row>
    <row r="2086" spans="1:4" x14ac:dyDescent="0.2">
      <c r="A2086" s="416">
        <v>45266</v>
      </c>
      <c r="B2086" s="403">
        <f t="shared" si="38"/>
        <v>545432.25</v>
      </c>
      <c r="C2086" s="403">
        <v>545232.25</v>
      </c>
      <c r="D2086" s="596">
        <v>200</v>
      </c>
    </row>
    <row r="2087" spans="1:4" x14ac:dyDescent="0.2">
      <c r="A2087" s="416">
        <v>45267</v>
      </c>
      <c r="B2087" s="403">
        <f t="shared" si="38"/>
        <v>545590.84</v>
      </c>
      <c r="C2087" s="403">
        <v>545390.84</v>
      </c>
      <c r="D2087" s="596">
        <v>200</v>
      </c>
    </row>
    <row r="2088" spans="1:4" x14ac:dyDescent="0.2">
      <c r="A2088" s="416">
        <v>45268</v>
      </c>
      <c r="B2088" s="403">
        <f t="shared" si="38"/>
        <v>525679.43000000005</v>
      </c>
      <c r="C2088" s="403">
        <v>525479.43000000005</v>
      </c>
      <c r="D2088" s="596">
        <v>200</v>
      </c>
    </row>
    <row r="2089" spans="1:4" x14ac:dyDescent="0.2">
      <c r="A2089" s="416">
        <v>45271</v>
      </c>
      <c r="B2089" s="403">
        <f t="shared" si="38"/>
        <v>545765.34</v>
      </c>
      <c r="C2089" s="403">
        <v>545565.34</v>
      </c>
      <c r="D2089" s="596">
        <v>200</v>
      </c>
    </row>
    <row r="2090" spans="1:4" x14ac:dyDescent="0.2">
      <c r="A2090" s="416">
        <v>45272</v>
      </c>
      <c r="B2090" s="403">
        <f t="shared" si="38"/>
        <v>546390.34</v>
      </c>
      <c r="C2090" s="403">
        <v>546190.34</v>
      </c>
      <c r="D2090" s="596">
        <v>200</v>
      </c>
    </row>
    <row r="2091" spans="1:4" x14ac:dyDescent="0.2">
      <c r="A2091" s="416">
        <v>45273</v>
      </c>
      <c r="B2091" s="403">
        <f t="shared" si="38"/>
        <v>546489.65</v>
      </c>
      <c r="C2091" s="403">
        <v>546289.65</v>
      </c>
      <c r="D2091" s="596">
        <v>200</v>
      </c>
    </row>
    <row r="2092" spans="1:4" x14ac:dyDescent="0.2">
      <c r="A2092" s="416">
        <v>45274</v>
      </c>
      <c r="B2092" s="403">
        <f t="shared" si="38"/>
        <v>540866.25</v>
      </c>
      <c r="C2092" s="403">
        <v>540666.25</v>
      </c>
      <c r="D2092" s="596">
        <v>200</v>
      </c>
    </row>
    <row r="2093" spans="1:4" x14ac:dyDescent="0.2">
      <c r="A2093" s="416">
        <v>45275</v>
      </c>
      <c r="B2093" s="403">
        <f t="shared" si="38"/>
        <v>540913.56000000006</v>
      </c>
      <c r="C2093" s="403">
        <v>540713.56000000006</v>
      </c>
      <c r="D2093" s="596">
        <v>200</v>
      </c>
    </row>
    <row r="2094" spans="1:4" x14ac:dyDescent="0.2">
      <c r="A2094" s="416">
        <v>45278</v>
      </c>
      <c r="B2094" s="403">
        <f t="shared" si="38"/>
        <v>533274.25</v>
      </c>
      <c r="C2094" s="403">
        <v>533074.25</v>
      </c>
      <c r="D2094" s="596">
        <v>200</v>
      </c>
    </row>
    <row r="2095" spans="1:4" x14ac:dyDescent="0.2">
      <c r="A2095" s="416">
        <v>45279</v>
      </c>
      <c r="B2095" s="403">
        <f t="shared" si="38"/>
        <v>618886.13</v>
      </c>
      <c r="C2095" s="403">
        <v>618686.13</v>
      </c>
      <c r="D2095" s="596">
        <v>200</v>
      </c>
    </row>
    <row r="2096" spans="1:4" x14ac:dyDescent="0.2">
      <c r="A2096" s="416">
        <v>45280</v>
      </c>
      <c r="B2096" s="403">
        <f t="shared" si="38"/>
        <v>614102.62</v>
      </c>
      <c r="C2096" s="403">
        <v>613902.62</v>
      </c>
      <c r="D2096" s="596">
        <v>200</v>
      </c>
    </row>
    <row r="2097" spans="1:4" x14ac:dyDescent="0.2">
      <c r="A2097" s="416">
        <v>45281</v>
      </c>
      <c r="B2097" s="403">
        <f t="shared" si="38"/>
        <v>624405.25</v>
      </c>
      <c r="C2097" s="403">
        <v>624205.25</v>
      </c>
      <c r="D2097" s="596">
        <v>200</v>
      </c>
    </row>
    <row r="2098" spans="1:4" x14ac:dyDescent="0.2">
      <c r="A2098" s="416">
        <v>45282</v>
      </c>
      <c r="B2098" s="403">
        <f t="shared" si="38"/>
        <v>626377.68000000005</v>
      </c>
      <c r="C2098" s="403">
        <v>626177.68000000005</v>
      </c>
      <c r="D2098" s="596">
        <v>200</v>
      </c>
    </row>
    <row r="2099" spans="1:4" x14ac:dyDescent="0.2">
      <c r="A2099" s="416">
        <v>45285</v>
      </c>
      <c r="B2099" s="403">
        <f t="shared" si="38"/>
        <v>626377.68000000005</v>
      </c>
      <c r="C2099" s="403">
        <f t="shared" si="37"/>
        <v>626177.68000000005</v>
      </c>
      <c r="D2099" s="596">
        <v>200</v>
      </c>
    </row>
    <row r="2100" spans="1:4" x14ac:dyDescent="0.2">
      <c r="A2100" s="416">
        <v>45286</v>
      </c>
      <c r="B2100" s="403">
        <f t="shared" si="38"/>
        <v>643671.14</v>
      </c>
      <c r="C2100" s="403">
        <v>643471.14</v>
      </c>
      <c r="D2100" s="596">
        <v>200</v>
      </c>
    </row>
    <row r="2101" spans="1:4" x14ac:dyDescent="0.2">
      <c r="A2101" s="416">
        <v>45287</v>
      </c>
      <c r="B2101" s="403">
        <f t="shared" si="38"/>
        <v>644766.57999999996</v>
      </c>
      <c r="C2101" s="403">
        <v>644566.57999999996</v>
      </c>
      <c r="D2101" s="596">
        <v>200</v>
      </c>
    </row>
    <row r="2102" spans="1:4" x14ac:dyDescent="0.2">
      <c r="A2102" s="416">
        <v>45288</v>
      </c>
      <c r="B2102" s="403">
        <f t="shared" si="38"/>
        <v>638881.80000000005</v>
      </c>
      <c r="C2102" s="403">
        <v>638681.80000000005</v>
      </c>
      <c r="D2102" s="596">
        <v>200</v>
      </c>
    </row>
    <row r="2103" spans="1:4" x14ac:dyDescent="0.2">
      <c r="A2103" s="416">
        <v>45289</v>
      </c>
      <c r="B2103" s="444">
        <f t="shared" si="38"/>
        <v>661874.81999999995</v>
      </c>
      <c r="C2103" s="403">
        <v>661674.81999999995</v>
      </c>
      <c r="D2103" s="596">
        <v>200</v>
      </c>
    </row>
    <row r="2104" spans="1:4" x14ac:dyDescent="0.2">
      <c r="A2104" s="416">
        <v>45290</v>
      </c>
      <c r="B2104" s="403">
        <f t="shared" ref="B2104:B2148" si="39">C2104+D2104</f>
        <v>661874.81999999995</v>
      </c>
      <c r="C2104" s="403">
        <f t="shared" ref="C2104:C2156" si="40">C2103</f>
        <v>661674.81999999995</v>
      </c>
      <c r="D2104" s="596">
        <v>200</v>
      </c>
    </row>
    <row r="2105" spans="1:4" x14ac:dyDescent="0.2">
      <c r="A2105" s="416">
        <v>45291</v>
      </c>
      <c r="B2105" s="403">
        <f t="shared" si="39"/>
        <v>661874.81999999995</v>
      </c>
      <c r="C2105" s="403">
        <f t="shared" si="40"/>
        <v>661674.81999999995</v>
      </c>
      <c r="D2105" s="596">
        <v>200</v>
      </c>
    </row>
    <row r="2106" spans="1:4" x14ac:dyDescent="0.2">
      <c r="A2106" s="416">
        <v>45292</v>
      </c>
      <c r="B2106" s="403">
        <f t="shared" si="39"/>
        <v>661874.81999999995</v>
      </c>
      <c r="C2106" s="403">
        <f t="shared" si="40"/>
        <v>661674.81999999995</v>
      </c>
      <c r="D2106" s="596">
        <v>200</v>
      </c>
    </row>
    <row r="2107" spans="1:4" x14ac:dyDescent="0.2">
      <c r="A2107" s="416">
        <v>45293</v>
      </c>
      <c r="B2107" s="403">
        <f t="shared" si="39"/>
        <v>612116.59</v>
      </c>
      <c r="C2107" s="403">
        <v>611916.59</v>
      </c>
      <c r="D2107" s="596">
        <v>200</v>
      </c>
    </row>
    <row r="2108" spans="1:4" x14ac:dyDescent="0.2">
      <c r="A2108" s="416">
        <v>45294</v>
      </c>
      <c r="B2108" s="403">
        <f t="shared" si="39"/>
        <v>611802.93999999994</v>
      </c>
      <c r="C2108" s="403">
        <v>611602.93999999994</v>
      </c>
      <c r="D2108" s="596">
        <v>200</v>
      </c>
    </row>
    <row r="2109" spans="1:4" x14ac:dyDescent="0.2">
      <c r="A2109" s="416">
        <v>45295</v>
      </c>
      <c r="B2109" s="403">
        <f t="shared" si="39"/>
        <v>611802.93999999994</v>
      </c>
      <c r="C2109" s="403">
        <f t="shared" si="40"/>
        <v>611602.93999999994</v>
      </c>
      <c r="D2109" s="596">
        <v>200</v>
      </c>
    </row>
    <row r="2110" spans="1:4" x14ac:dyDescent="0.2">
      <c r="A2110" s="416">
        <v>45296</v>
      </c>
      <c r="B2110" s="403">
        <f t="shared" si="39"/>
        <v>611802.93999999994</v>
      </c>
      <c r="C2110" s="403">
        <f t="shared" si="40"/>
        <v>611602.93999999994</v>
      </c>
      <c r="D2110" s="596">
        <v>200</v>
      </c>
    </row>
    <row r="2111" spans="1:4" x14ac:dyDescent="0.2">
      <c r="A2111" s="416">
        <v>45299</v>
      </c>
      <c r="B2111" s="403">
        <f t="shared" si="39"/>
        <v>597286.13</v>
      </c>
      <c r="C2111" s="403">
        <v>597086.13</v>
      </c>
      <c r="D2111" s="596">
        <v>200</v>
      </c>
    </row>
    <row r="2112" spans="1:4" x14ac:dyDescent="0.2">
      <c r="A2112" s="416">
        <v>45300</v>
      </c>
      <c r="B2112" s="403">
        <f t="shared" si="39"/>
        <v>597286.13</v>
      </c>
      <c r="C2112" s="403">
        <f t="shared" si="40"/>
        <v>597086.13</v>
      </c>
      <c r="D2112" s="596">
        <v>200</v>
      </c>
    </row>
    <row r="2113" spans="1:4" x14ac:dyDescent="0.2">
      <c r="A2113" s="416">
        <v>45301</v>
      </c>
      <c r="B2113" s="403">
        <f t="shared" si="39"/>
        <v>597286.13</v>
      </c>
      <c r="C2113" s="403">
        <f t="shared" si="40"/>
        <v>597086.13</v>
      </c>
      <c r="D2113" s="596">
        <v>200</v>
      </c>
    </row>
    <row r="2114" spans="1:4" x14ac:dyDescent="0.2">
      <c r="A2114" s="416">
        <v>45302</v>
      </c>
      <c r="B2114" s="403">
        <f t="shared" si="39"/>
        <v>608030.19999999995</v>
      </c>
      <c r="C2114" s="403">
        <v>607830.19999999995</v>
      </c>
      <c r="D2114" s="596">
        <v>200</v>
      </c>
    </row>
    <row r="2115" spans="1:4" x14ac:dyDescent="0.2">
      <c r="A2115" s="416">
        <v>45303</v>
      </c>
      <c r="B2115" s="403">
        <f t="shared" si="39"/>
        <v>608078.04</v>
      </c>
      <c r="C2115" s="403">
        <v>607878.04</v>
      </c>
      <c r="D2115" s="596">
        <v>200</v>
      </c>
    </row>
    <row r="2116" spans="1:4" x14ac:dyDescent="0.2">
      <c r="A2116" s="416">
        <v>45306</v>
      </c>
      <c r="B2116" s="403">
        <f t="shared" si="39"/>
        <v>608078.04</v>
      </c>
      <c r="C2116" s="403">
        <f t="shared" si="40"/>
        <v>607878.04</v>
      </c>
      <c r="D2116" s="596">
        <v>200</v>
      </c>
    </row>
    <row r="2117" spans="1:4" x14ac:dyDescent="0.2">
      <c r="A2117" s="416">
        <v>45307</v>
      </c>
      <c r="B2117" s="403">
        <f t="shared" si="39"/>
        <v>586838.57999999996</v>
      </c>
      <c r="C2117" s="403">
        <v>586638.57999999996</v>
      </c>
      <c r="D2117" s="596">
        <v>200</v>
      </c>
    </row>
    <row r="2118" spans="1:4" x14ac:dyDescent="0.2">
      <c r="A2118" s="416">
        <v>45308</v>
      </c>
      <c r="B2118" s="403">
        <f t="shared" si="39"/>
        <v>582760.27</v>
      </c>
      <c r="C2118" s="403">
        <v>582560.27</v>
      </c>
      <c r="D2118" s="596">
        <v>200</v>
      </c>
    </row>
    <row r="2119" spans="1:4" x14ac:dyDescent="0.2">
      <c r="A2119" s="416">
        <v>45309</v>
      </c>
      <c r="B2119" s="403">
        <f t="shared" si="39"/>
        <v>591268.14</v>
      </c>
      <c r="C2119" s="403">
        <v>591068.14</v>
      </c>
      <c r="D2119" s="596">
        <v>200</v>
      </c>
    </row>
    <row r="2120" spans="1:4" x14ac:dyDescent="0.2">
      <c r="A2120" s="416">
        <v>45310</v>
      </c>
      <c r="B2120" s="403">
        <f t="shared" si="39"/>
        <v>606839.55000000005</v>
      </c>
      <c r="C2120" s="403">
        <v>606639.55000000005</v>
      </c>
      <c r="D2120" s="596">
        <v>200</v>
      </c>
    </row>
    <row r="2121" spans="1:4" x14ac:dyDescent="0.2">
      <c r="A2121" s="416">
        <v>45313</v>
      </c>
      <c r="B2121" s="403">
        <f t="shared" si="39"/>
        <v>594580.53</v>
      </c>
      <c r="C2121" s="403">
        <v>594380.53</v>
      </c>
      <c r="D2121" s="596">
        <v>200</v>
      </c>
    </row>
    <row r="2122" spans="1:4" x14ac:dyDescent="0.2">
      <c r="A2122" s="416">
        <v>45314</v>
      </c>
      <c r="B2122" s="403">
        <f t="shared" si="39"/>
        <v>593705.04</v>
      </c>
      <c r="C2122" s="403">
        <v>593505.04</v>
      </c>
      <c r="D2122" s="596">
        <v>200</v>
      </c>
    </row>
    <row r="2123" spans="1:4" x14ac:dyDescent="0.2">
      <c r="A2123" s="416">
        <v>45315</v>
      </c>
      <c r="B2123" s="403">
        <f t="shared" si="39"/>
        <v>593705.04</v>
      </c>
      <c r="C2123" s="403">
        <f t="shared" si="40"/>
        <v>593505.04</v>
      </c>
      <c r="D2123" s="596">
        <v>200</v>
      </c>
    </row>
    <row r="2124" spans="1:4" x14ac:dyDescent="0.2">
      <c r="A2124" s="416">
        <v>45316</v>
      </c>
      <c r="B2124" s="403">
        <f t="shared" si="39"/>
        <v>587304.93000000005</v>
      </c>
      <c r="C2124" s="403">
        <v>587104.93000000005</v>
      </c>
      <c r="D2124" s="596">
        <v>200</v>
      </c>
    </row>
    <row r="2125" spans="1:4" x14ac:dyDescent="0.2">
      <c r="A2125" s="416">
        <v>45317</v>
      </c>
      <c r="B2125" s="403">
        <f t="shared" si="39"/>
        <v>587269.94999999995</v>
      </c>
      <c r="C2125" s="403">
        <v>587069.94999999995</v>
      </c>
      <c r="D2125" s="596">
        <v>200</v>
      </c>
    </row>
    <row r="2126" spans="1:4" x14ac:dyDescent="0.2">
      <c r="A2126" s="416">
        <v>45320</v>
      </c>
      <c r="B2126" s="403">
        <f t="shared" si="39"/>
        <v>586679.74</v>
      </c>
      <c r="C2126" s="403">
        <v>586479.74</v>
      </c>
      <c r="D2126" s="596">
        <v>200</v>
      </c>
    </row>
    <row r="2127" spans="1:4" x14ac:dyDescent="0.2">
      <c r="A2127" s="416">
        <v>45321</v>
      </c>
      <c r="B2127" s="403">
        <f t="shared" si="39"/>
        <v>553504.59</v>
      </c>
      <c r="C2127" s="403">
        <v>553304.59</v>
      </c>
      <c r="D2127" s="596">
        <v>200</v>
      </c>
    </row>
    <row r="2128" spans="1:4" x14ac:dyDescent="0.2">
      <c r="A2128" s="416">
        <v>45322</v>
      </c>
      <c r="B2128" s="403">
        <f t="shared" si="39"/>
        <v>553504.59</v>
      </c>
      <c r="C2128" s="403">
        <f t="shared" si="40"/>
        <v>553304.59</v>
      </c>
      <c r="D2128" s="596">
        <v>200</v>
      </c>
    </row>
    <row r="2129" spans="1:4" x14ac:dyDescent="0.2">
      <c r="A2129" s="416">
        <v>45323</v>
      </c>
      <c r="B2129" s="403">
        <f t="shared" si="39"/>
        <v>553504.59</v>
      </c>
      <c r="C2129" s="403">
        <f t="shared" si="40"/>
        <v>553304.59</v>
      </c>
      <c r="D2129" s="596">
        <v>200</v>
      </c>
    </row>
    <row r="2130" spans="1:4" x14ac:dyDescent="0.2">
      <c r="A2130" s="416">
        <v>45324</v>
      </c>
      <c r="B2130" s="403">
        <f t="shared" si="39"/>
        <v>592925.96</v>
      </c>
      <c r="C2130" s="403">
        <v>592725.96</v>
      </c>
      <c r="D2130" s="596">
        <v>200</v>
      </c>
    </row>
    <row r="2131" spans="1:4" x14ac:dyDescent="0.2">
      <c r="A2131" s="416">
        <v>45327</v>
      </c>
      <c r="B2131" s="403">
        <f t="shared" si="39"/>
        <v>579325.18999999994</v>
      </c>
      <c r="C2131" s="403">
        <v>579125.18999999994</v>
      </c>
      <c r="D2131" s="596">
        <v>200</v>
      </c>
    </row>
    <row r="2132" spans="1:4" x14ac:dyDescent="0.2">
      <c r="A2132" s="416">
        <v>45328</v>
      </c>
      <c r="B2132" s="403">
        <f t="shared" si="39"/>
        <v>579515.18999999994</v>
      </c>
      <c r="C2132" s="403">
        <v>579315.18999999994</v>
      </c>
      <c r="D2132" s="596">
        <v>200</v>
      </c>
    </row>
    <row r="2133" spans="1:4" x14ac:dyDescent="0.2">
      <c r="A2133" s="416">
        <v>45329</v>
      </c>
      <c r="B2133" s="403">
        <f t="shared" si="39"/>
        <v>580657.82999999996</v>
      </c>
      <c r="C2133" s="403">
        <v>580457.82999999996</v>
      </c>
      <c r="D2133" s="596">
        <v>200</v>
      </c>
    </row>
    <row r="2134" spans="1:4" x14ac:dyDescent="0.2">
      <c r="A2134" s="416">
        <v>45330</v>
      </c>
      <c r="B2134" s="403">
        <f t="shared" si="39"/>
        <v>579328.14</v>
      </c>
      <c r="C2134" s="403">
        <v>579128.14</v>
      </c>
      <c r="D2134" s="596">
        <v>200</v>
      </c>
    </row>
    <row r="2135" spans="1:4" x14ac:dyDescent="0.2">
      <c r="A2135" s="416">
        <v>45331</v>
      </c>
      <c r="B2135" s="403">
        <f t="shared" si="39"/>
        <v>579328.14</v>
      </c>
      <c r="C2135" s="403">
        <f t="shared" si="40"/>
        <v>579128.14</v>
      </c>
      <c r="D2135" s="596">
        <v>200</v>
      </c>
    </row>
    <row r="2136" spans="1:4" x14ac:dyDescent="0.2">
      <c r="A2136" s="416">
        <v>45334</v>
      </c>
      <c r="B2136" s="403">
        <f t="shared" si="39"/>
        <v>543891.63</v>
      </c>
      <c r="C2136" s="403">
        <v>543691.63</v>
      </c>
      <c r="D2136" s="596">
        <v>200</v>
      </c>
    </row>
    <row r="2137" spans="1:4" x14ac:dyDescent="0.2">
      <c r="A2137" s="416">
        <v>45335</v>
      </c>
      <c r="B2137" s="403">
        <f t="shared" si="39"/>
        <v>543891.63</v>
      </c>
      <c r="C2137" s="403">
        <f t="shared" si="40"/>
        <v>543691.63</v>
      </c>
      <c r="D2137" s="596">
        <v>200</v>
      </c>
    </row>
    <row r="2138" spans="1:4" x14ac:dyDescent="0.2">
      <c r="A2138" s="416">
        <v>45336</v>
      </c>
      <c r="B2138" s="403">
        <f t="shared" si="39"/>
        <v>579929.61</v>
      </c>
      <c r="C2138" s="403">
        <v>579729.61</v>
      </c>
      <c r="D2138" s="596">
        <v>200</v>
      </c>
    </row>
    <row r="2139" spans="1:4" x14ac:dyDescent="0.2">
      <c r="A2139" s="416">
        <v>45337</v>
      </c>
      <c r="B2139" s="403">
        <f t="shared" si="39"/>
        <v>566140.77</v>
      </c>
      <c r="C2139" s="403">
        <v>565940.77</v>
      </c>
      <c r="D2139" s="596">
        <v>200</v>
      </c>
    </row>
    <row r="2140" spans="1:4" x14ac:dyDescent="0.2">
      <c r="A2140" s="416">
        <v>45338</v>
      </c>
      <c r="B2140" s="403">
        <f t="shared" si="39"/>
        <v>566424.71</v>
      </c>
      <c r="C2140" s="403">
        <v>566224.71</v>
      </c>
      <c r="D2140" s="596">
        <v>200</v>
      </c>
    </row>
    <row r="2141" spans="1:4" x14ac:dyDescent="0.2">
      <c r="A2141" s="416">
        <v>45341</v>
      </c>
      <c r="B2141" s="403">
        <f t="shared" si="39"/>
        <v>566424.71</v>
      </c>
      <c r="C2141" s="403">
        <f t="shared" si="40"/>
        <v>566224.71</v>
      </c>
      <c r="D2141" s="596">
        <v>200</v>
      </c>
    </row>
    <row r="2142" spans="1:4" x14ac:dyDescent="0.2">
      <c r="A2142" s="416">
        <v>45342</v>
      </c>
      <c r="B2142" s="403">
        <f t="shared" si="39"/>
        <v>585835.32999999996</v>
      </c>
      <c r="C2142" s="403">
        <v>585635.32999999996</v>
      </c>
      <c r="D2142" s="596">
        <v>200</v>
      </c>
    </row>
    <row r="2143" spans="1:4" x14ac:dyDescent="0.2">
      <c r="A2143" s="416">
        <v>45343</v>
      </c>
      <c r="B2143" s="403">
        <f t="shared" si="39"/>
        <v>585835.32999999996</v>
      </c>
      <c r="C2143" s="403">
        <f t="shared" si="40"/>
        <v>585635.32999999996</v>
      </c>
      <c r="D2143" s="596">
        <v>200</v>
      </c>
    </row>
    <row r="2144" spans="1:4" x14ac:dyDescent="0.2">
      <c r="A2144" s="416">
        <v>45344</v>
      </c>
      <c r="B2144" s="403">
        <f t="shared" si="39"/>
        <v>587749.09</v>
      </c>
      <c r="C2144" s="403">
        <v>587549.09</v>
      </c>
      <c r="D2144" s="596">
        <v>200</v>
      </c>
    </row>
    <row r="2145" spans="1:4" x14ac:dyDescent="0.2">
      <c r="A2145" s="416">
        <v>45345</v>
      </c>
      <c r="B2145" s="403">
        <f t="shared" si="39"/>
        <v>587703.09</v>
      </c>
      <c r="C2145" s="403">
        <v>587503.09</v>
      </c>
      <c r="D2145" s="596">
        <v>200</v>
      </c>
    </row>
    <row r="2146" spans="1:4" x14ac:dyDescent="0.2">
      <c r="A2146" s="416">
        <v>45348</v>
      </c>
      <c r="B2146" s="403">
        <f t="shared" si="39"/>
        <v>553831.01</v>
      </c>
      <c r="C2146" s="403">
        <v>553631.01</v>
      </c>
      <c r="D2146" s="596">
        <v>200</v>
      </c>
    </row>
    <row r="2147" spans="1:4" x14ac:dyDescent="0.2">
      <c r="A2147" s="416">
        <v>45349</v>
      </c>
      <c r="B2147" s="403">
        <f t="shared" si="39"/>
        <v>553831.01</v>
      </c>
      <c r="C2147" s="403">
        <f t="shared" si="40"/>
        <v>553631.01</v>
      </c>
      <c r="D2147" s="596">
        <v>200</v>
      </c>
    </row>
    <row r="2148" spans="1:4" x14ac:dyDescent="0.2">
      <c r="A2148" s="416">
        <v>45350</v>
      </c>
      <c r="B2148" s="403">
        <f t="shared" si="39"/>
        <v>553831.01</v>
      </c>
      <c r="C2148" s="403">
        <f t="shared" si="40"/>
        <v>553631.01</v>
      </c>
      <c r="D2148" s="596">
        <v>200</v>
      </c>
    </row>
    <row r="2149" spans="1:4" x14ac:dyDescent="0.2">
      <c r="A2149" s="416">
        <v>45351</v>
      </c>
      <c r="B2149" s="403">
        <f t="shared" ref="B2149:B2192" si="41">C2149+D2149</f>
        <v>553927.51</v>
      </c>
      <c r="C2149" s="403">
        <v>553727.51</v>
      </c>
      <c r="D2149" s="596">
        <v>200</v>
      </c>
    </row>
    <row r="2150" spans="1:4" x14ac:dyDescent="0.2">
      <c r="A2150" s="416">
        <v>45352</v>
      </c>
      <c r="B2150" s="403">
        <f t="shared" si="41"/>
        <v>639044.65</v>
      </c>
      <c r="C2150" s="403">
        <v>638844.65</v>
      </c>
      <c r="D2150" s="596">
        <v>200</v>
      </c>
    </row>
    <row r="2151" spans="1:4" x14ac:dyDescent="0.2">
      <c r="A2151" s="416">
        <v>45355</v>
      </c>
      <c r="B2151" s="403">
        <f t="shared" si="41"/>
        <v>639286.35</v>
      </c>
      <c r="C2151" s="403">
        <v>639086.35</v>
      </c>
      <c r="D2151" s="596">
        <v>200</v>
      </c>
    </row>
    <row r="2152" spans="1:4" x14ac:dyDescent="0.2">
      <c r="A2152" s="416">
        <v>45356</v>
      </c>
      <c r="B2152" s="403">
        <f t="shared" si="41"/>
        <v>639286.35</v>
      </c>
      <c r="C2152" s="403">
        <f t="shared" si="40"/>
        <v>639086.35</v>
      </c>
      <c r="D2152" s="596">
        <v>200</v>
      </c>
    </row>
    <row r="2153" spans="1:4" x14ac:dyDescent="0.2">
      <c r="A2153" s="416">
        <v>45357</v>
      </c>
      <c r="B2153" s="403">
        <f t="shared" si="41"/>
        <v>639286.35</v>
      </c>
      <c r="C2153" s="403">
        <f t="shared" si="40"/>
        <v>639086.35</v>
      </c>
      <c r="D2153" s="596">
        <v>200</v>
      </c>
    </row>
    <row r="2154" spans="1:4" x14ac:dyDescent="0.2">
      <c r="A2154" s="416">
        <v>45358</v>
      </c>
      <c r="B2154" s="403">
        <f t="shared" si="41"/>
        <v>616931.9</v>
      </c>
      <c r="C2154" s="403">
        <v>616731.9</v>
      </c>
      <c r="D2154" s="596">
        <v>200</v>
      </c>
    </row>
    <row r="2155" spans="1:4" x14ac:dyDescent="0.2">
      <c r="A2155" s="416">
        <v>45359</v>
      </c>
      <c r="B2155" s="403">
        <f t="shared" si="41"/>
        <v>616931.9</v>
      </c>
      <c r="C2155" s="403">
        <f t="shared" si="40"/>
        <v>616731.9</v>
      </c>
      <c r="D2155" s="596">
        <v>200</v>
      </c>
    </row>
    <row r="2156" spans="1:4" x14ac:dyDescent="0.2">
      <c r="A2156" s="416">
        <v>45362</v>
      </c>
      <c r="B2156" s="403">
        <f t="shared" si="41"/>
        <v>616931.9</v>
      </c>
      <c r="C2156" s="403">
        <f t="shared" si="40"/>
        <v>616731.9</v>
      </c>
      <c r="D2156" s="596">
        <v>200</v>
      </c>
    </row>
    <row r="2157" spans="1:4" x14ac:dyDescent="0.2">
      <c r="A2157" s="416">
        <v>45363</v>
      </c>
      <c r="B2157" s="403">
        <f t="shared" si="41"/>
        <v>580620.53</v>
      </c>
      <c r="C2157" s="403">
        <v>580420.53</v>
      </c>
      <c r="D2157" s="596">
        <v>200</v>
      </c>
    </row>
    <row r="2158" spans="1:4" x14ac:dyDescent="0.2">
      <c r="A2158" s="416">
        <v>45364</v>
      </c>
      <c r="B2158" s="403">
        <f t="shared" si="41"/>
        <v>589303.47</v>
      </c>
      <c r="C2158" s="403">
        <v>589103.47</v>
      </c>
      <c r="D2158" s="596">
        <v>200</v>
      </c>
    </row>
    <row r="2159" spans="1:4" x14ac:dyDescent="0.2">
      <c r="A2159" s="416">
        <v>45365</v>
      </c>
      <c r="B2159" s="403">
        <f t="shared" si="41"/>
        <v>573439.49</v>
      </c>
      <c r="C2159" s="403">
        <v>573239.49</v>
      </c>
      <c r="D2159" s="596">
        <v>200</v>
      </c>
    </row>
    <row r="2160" spans="1:4" x14ac:dyDescent="0.2">
      <c r="A2160" s="416">
        <v>45366</v>
      </c>
      <c r="B2160" s="403">
        <f t="shared" si="41"/>
        <v>573173.1</v>
      </c>
      <c r="C2160" s="403">
        <v>572973.1</v>
      </c>
      <c r="D2160" s="596">
        <v>200</v>
      </c>
    </row>
    <row r="2161" spans="1:4" x14ac:dyDescent="0.2">
      <c r="A2161" s="416">
        <v>45369</v>
      </c>
      <c r="B2161" s="403">
        <f t="shared" si="41"/>
        <v>597404.67000000004</v>
      </c>
      <c r="C2161" s="403">
        <v>597204.67000000004</v>
      </c>
      <c r="D2161" s="596">
        <v>200</v>
      </c>
    </row>
    <row r="2162" spans="1:4" x14ac:dyDescent="0.2">
      <c r="A2162" s="416">
        <v>45370</v>
      </c>
      <c r="B2162" s="403">
        <f t="shared" si="41"/>
        <v>597454.31999999995</v>
      </c>
      <c r="C2162" s="403">
        <v>597254.31999999995</v>
      </c>
      <c r="D2162" s="596">
        <v>200</v>
      </c>
    </row>
    <row r="2163" spans="1:4" x14ac:dyDescent="0.2">
      <c r="A2163" s="416">
        <v>45371</v>
      </c>
      <c r="B2163" s="403">
        <f t="shared" si="41"/>
        <v>594610.32999999996</v>
      </c>
      <c r="C2163" s="403">
        <v>594410.32999999996</v>
      </c>
      <c r="D2163" s="596">
        <v>200</v>
      </c>
    </row>
    <row r="2164" spans="1:4" x14ac:dyDescent="0.2">
      <c r="A2164" s="416">
        <v>45372</v>
      </c>
      <c r="B2164" s="403">
        <f t="shared" si="41"/>
        <v>599459.89</v>
      </c>
      <c r="C2164" s="403">
        <v>599259.89</v>
      </c>
      <c r="D2164" s="596">
        <v>200</v>
      </c>
    </row>
    <row r="2165" spans="1:4" x14ac:dyDescent="0.2">
      <c r="A2165" s="416">
        <v>45373</v>
      </c>
      <c r="B2165" s="403">
        <f t="shared" si="41"/>
        <v>621376.56999999995</v>
      </c>
      <c r="C2165" s="403">
        <v>621176.56999999995</v>
      </c>
      <c r="D2165" s="596">
        <v>200</v>
      </c>
    </row>
    <row r="2166" spans="1:4" x14ac:dyDescent="0.2">
      <c r="A2166" s="416">
        <v>45376</v>
      </c>
      <c r="B2166" s="403">
        <f t="shared" si="41"/>
        <v>639731.09</v>
      </c>
      <c r="C2166" s="403">
        <v>639531.09</v>
      </c>
      <c r="D2166" s="596">
        <v>200</v>
      </c>
    </row>
    <row r="2167" spans="1:4" x14ac:dyDescent="0.2">
      <c r="A2167" s="416">
        <v>45377</v>
      </c>
      <c r="B2167" s="403">
        <f t="shared" si="41"/>
        <v>603296.46</v>
      </c>
      <c r="C2167" s="403">
        <v>603096.46</v>
      </c>
      <c r="D2167" s="596">
        <v>200</v>
      </c>
    </row>
    <row r="2168" spans="1:4" x14ac:dyDescent="0.2">
      <c r="A2168" s="416">
        <v>45378</v>
      </c>
      <c r="B2168" s="403">
        <f t="shared" si="41"/>
        <v>602128.03</v>
      </c>
      <c r="C2168" s="403">
        <v>601928.03</v>
      </c>
      <c r="D2168" s="596">
        <v>200</v>
      </c>
    </row>
    <row r="2169" spans="1:4" x14ac:dyDescent="0.2">
      <c r="A2169" s="416">
        <v>45379</v>
      </c>
      <c r="B2169" s="403">
        <f t="shared" si="41"/>
        <v>610877.03</v>
      </c>
      <c r="C2169" s="403">
        <v>610677.03</v>
      </c>
      <c r="D2169" s="596">
        <v>200</v>
      </c>
    </row>
    <row r="2170" spans="1:4" x14ac:dyDescent="0.2">
      <c r="A2170" s="416">
        <v>45380</v>
      </c>
      <c r="B2170" s="403">
        <f t="shared" si="41"/>
        <v>629664.21</v>
      </c>
      <c r="C2170" s="403">
        <v>629464.21</v>
      </c>
      <c r="D2170" s="596">
        <v>200</v>
      </c>
    </row>
    <row r="2171" spans="1:4" x14ac:dyDescent="0.2">
      <c r="A2171" s="416">
        <v>45383</v>
      </c>
      <c r="B2171" s="403">
        <f t="shared" si="41"/>
        <v>629664.21</v>
      </c>
      <c r="C2171" s="403">
        <f t="shared" ref="C2171:C2192" si="42">C2170</f>
        <v>629464.21</v>
      </c>
      <c r="D2171" s="596">
        <v>200</v>
      </c>
    </row>
    <row r="2172" spans="1:4" x14ac:dyDescent="0.2">
      <c r="A2172" s="416">
        <v>45384</v>
      </c>
      <c r="B2172" s="403">
        <f t="shared" si="41"/>
        <v>629664.21</v>
      </c>
      <c r="C2172" s="403">
        <f t="shared" si="42"/>
        <v>629464.21</v>
      </c>
      <c r="D2172" s="596">
        <v>200</v>
      </c>
    </row>
    <row r="2173" spans="1:4" x14ac:dyDescent="0.2">
      <c r="A2173" s="416">
        <v>45385</v>
      </c>
      <c r="B2173" s="403">
        <f t="shared" si="41"/>
        <v>629904.21</v>
      </c>
      <c r="C2173" s="403">
        <v>629704.21</v>
      </c>
      <c r="D2173" s="596">
        <v>200</v>
      </c>
    </row>
    <row r="2174" spans="1:4" x14ac:dyDescent="0.2">
      <c r="A2174" s="416">
        <v>45386</v>
      </c>
      <c r="B2174" s="403">
        <f t="shared" si="41"/>
        <v>629904.21</v>
      </c>
      <c r="C2174" s="403">
        <f t="shared" si="42"/>
        <v>629704.21</v>
      </c>
      <c r="D2174" s="596">
        <v>200</v>
      </c>
    </row>
    <row r="2175" spans="1:4" x14ac:dyDescent="0.2">
      <c r="A2175" s="416">
        <v>45387</v>
      </c>
      <c r="B2175" s="403">
        <f t="shared" si="41"/>
        <v>630020.39</v>
      </c>
      <c r="C2175" s="403">
        <v>629820.39</v>
      </c>
      <c r="D2175" s="596">
        <v>200</v>
      </c>
    </row>
    <row r="2176" spans="1:4" x14ac:dyDescent="0.2">
      <c r="A2176" s="416">
        <v>45390</v>
      </c>
      <c r="B2176" s="403">
        <f t="shared" si="41"/>
        <v>630714.61</v>
      </c>
      <c r="C2176" s="403">
        <v>630514.61</v>
      </c>
      <c r="D2176" s="596">
        <v>200</v>
      </c>
    </row>
    <row r="2177" spans="1:4" x14ac:dyDescent="0.2">
      <c r="A2177" s="416">
        <v>45391</v>
      </c>
      <c r="B2177" s="403">
        <f t="shared" si="41"/>
        <v>573875.92000000004</v>
      </c>
      <c r="C2177" s="403">
        <v>573675.92000000004</v>
      </c>
      <c r="D2177" s="596">
        <v>200</v>
      </c>
    </row>
    <row r="2178" spans="1:4" x14ac:dyDescent="0.2">
      <c r="A2178" s="416">
        <v>45392</v>
      </c>
      <c r="B2178" s="403">
        <f t="shared" si="41"/>
        <v>590385.61</v>
      </c>
      <c r="C2178" s="403">
        <v>590185.61</v>
      </c>
      <c r="D2178" s="596">
        <v>200</v>
      </c>
    </row>
    <row r="2179" spans="1:4" x14ac:dyDescent="0.2">
      <c r="A2179" s="416">
        <v>45393</v>
      </c>
      <c r="B2179" s="403">
        <f t="shared" si="41"/>
        <v>590798.61</v>
      </c>
      <c r="C2179" s="403">
        <v>590598.61</v>
      </c>
      <c r="D2179" s="596">
        <v>200</v>
      </c>
    </row>
    <row r="2180" spans="1:4" x14ac:dyDescent="0.2">
      <c r="A2180" s="416">
        <v>45394</v>
      </c>
      <c r="B2180" s="403">
        <f t="shared" si="41"/>
        <v>590447.57999999996</v>
      </c>
      <c r="C2180" s="403">
        <v>590247.57999999996</v>
      </c>
      <c r="D2180" s="596">
        <v>200</v>
      </c>
    </row>
    <row r="2181" spans="1:4" x14ac:dyDescent="0.2">
      <c r="A2181" s="416">
        <v>45397</v>
      </c>
      <c r="B2181" s="403">
        <f t="shared" si="41"/>
        <v>589784.82999999996</v>
      </c>
      <c r="C2181" s="403">
        <v>589584.82999999996</v>
      </c>
      <c r="D2181" s="596">
        <v>200</v>
      </c>
    </row>
    <row r="2182" spans="1:4" x14ac:dyDescent="0.2">
      <c r="A2182" s="416">
        <v>45398</v>
      </c>
      <c r="B2182" s="403">
        <f t="shared" si="41"/>
        <v>591275.29</v>
      </c>
      <c r="C2182" s="403">
        <v>591075.29</v>
      </c>
      <c r="D2182" s="596">
        <v>200</v>
      </c>
    </row>
    <row r="2183" spans="1:4" x14ac:dyDescent="0.2">
      <c r="A2183" s="416">
        <v>45399</v>
      </c>
      <c r="B2183" s="403">
        <f t="shared" si="41"/>
        <v>591604.29</v>
      </c>
      <c r="C2183" s="403">
        <v>591404.29</v>
      </c>
      <c r="D2183" s="596">
        <v>200</v>
      </c>
    </row>
    <row r="2184" spans="1:4" x14ac:dyDescent="0.2">
      <c r="A2184" s="416">
        <v>45400</v>
      </c>
      <c r="B2184" s="403">
        <f t="shared" si="41"/>
        <v>595308.17000000004</v>
      </c>
      <c r="C2184" s="403">
        <v>595108.17000000004</v>
      </c>
      <c r="D2184" s="596">
        <v>200</v>
      </c>
    </row>
    <row r="2185" spans="1:4" x14ac:dyDescent="0.2">
      <c r="A2185" s="416">
        <v>45401</v>
      </c>
      <c r="B2185" s="403">
        <f t="shared" si="41"/>
        <v>595308.17000000004</v>
      </c>
      <c r="C2185" s="403">
        <f t="shared" si="42"/>
        <v>595108.17000000004</v>
      </c>
      <c r="D2185" s="596">
        <v>200</v>
      </c>
    </row>
    <row r="2186" spans="1:4" x14ac:dyDescent="0.2">
      <c r="A2186" s="416">
        <v>45404</v>
      </c>
      <c r="B2186" s="403">
        <f t="shared" si="41"/>
        <v>592390.28</v>
      </c>
      <c r="C2186" s="403">
        <v>592190.28</v>
      </c>
      <c r="D2186" s="596">
        <v>200</v>
      </c>
    </row>
    <row r="2187" spans="1:4" x14ac:dyDescent="0.2">
      <c r="A2187" s="416">
        <v>45405</v>
      </c>
      <c r="B2187" s="403">
        <f t="shared" si="41"/>
        <v>554571.62</v>
      </c>
      <c r="C2187" s="403">
        <v>554371.62</v>
      </c>
      <c r="D2187" s="596">
        <v>200</v>
      </c>
    </row>
    <row r="2188" spans="1:4" x14ac:dyDescent="0.2">
      <c r="A2188" s="416">
        <v>45406</v>
      </c>
      <c r="B2188" s="403">
        <f t="shared" si="41"/>
        <v>555118.31999999995</v>
      </c>
      <c r="C2188" s="403">
        <v>554918.31999999995</v>
      </c>
      <c r="D2188" s="596">
        <v>200</v>
      </c>
    </row>
    <row r="2189" spans="1:4" x14ac:dyDescent="0.2">
      <c r="A2189" s="416">
        <v>45407</v>
      </c>
      <c r="B2189" s="403">
        <f t="shared" si="41"/>
        <v>545445.69999999995</v>
      </c>
      <c r="C2189" s="403">
        <v>545245.69999999995</v>
      </c>
      <c r="D2189" s="596">
        <v>200</v>
      </c>
    </row>
    <row r="2190" spans="1:4" x14ac:dyDescent="0.2">
      <c r="A2190" s="416">
        <v>45408</v>
      </c>
      <c r="B2190" s="403">
        <f t="shared" si="41"/>
        <v>557177.62</v>
      </c>
      <c r="C2190" s="403">
        <v>556977.62</v>
      </c>
      <c r="D2190" s="596">
        <v>200</v>
      </c>
    </row>
    <row r="2191" spans="1:4" x14ac:dyDescent="0.2">
      <c r="A2191" s="416">
        <v>45411</v>
      </c>
      <c r="B2191" s="403">
        <f t="shared" si="41"/>
        <v>557177.62</v>
      </c>
      <c r="C2191" s="403">
        <f t="shared" si="42"/>
        <v>556977.62</v>
      </c>
      <c r="D2191" s="596">
        <v>200</v>
      </c>
    </row>
    <row r="2192" spans="1:4" x14ac:dyDescent="0.2">
      <c r="A2192" s="416">
        <v>45412</v>
      </c>
      <c r="B2192" s="403">
        <f t="shared" si="41"/>
        <v>557177.62</v>
      </c>
      <c r="C2192" s="403">
        <f t="shared" si="42"/>
        <v>556977.62</v>
      </c>
      <c r="D2192" s="596">
        <v>200</v>
      </c>
    </row>
    <row r="2193" spans="1:4" x14ac:dyDescent="0.2">
      <c r="A2193" s="416"/>
      <c r="C2193" s="403"/>
      <c r="D2193" s="596"/>
    </row>
    <row r="2194" spans="1:4" x14ac:dyDescent="0.2">
      <c r="A2194" s="416"/>
      <c r="C2194" s="403"/>
      <c r="D2194" s="596"/>
    </row>
    <row r="2195" spans="1:4" x14ac:dyDescent="0.2">
      <c r="A2195" s="416"/>
      <c r="C2195" s="403"/>
      <c r="D2195" s="596"/>
    </row>
    <row r="2196" spans="1:4" x14ac:dyDescent="0.2">
      <c r="A2196" s="416"/>
      <c r="C2196" s="403"/>
      <c r="D2196" s="596"/>
    </row>
    <row r="2197" spans="1:4" x14ac:dyDescent="0.2">
      <c r="A2197" s="416"/>
      <c r="C2197" s="403"/>
      <c r="D2197" s="596"/>
    </row>
    <row r="2198" spans="1:4" x14ac:dyDescent="0.2">
      <c r="A2198" s="416"/>
      <c r="C2198" s="403"/>
      <c r="D2198" s="596"/>
    </row>
    <row r="2199" spans="1:4" x14ac:dyDescent="0.2">
      <c r="A2199" s="416"/>
      <c r="C2199" s="403"/>
      <c r="D2199" s="596"/>
    </row>
    <row r="2200" spans="1:4" x14ac:dyDescent="0.2">
      <c r="A2200" s="421" t="s">
        <v>268</v>
      </c>
      <c r="B2200" s="403">
        <f>MAX(B$2106:B2199)</f>
        <v>661874.81999999995</v>
      </c>
    </row>
    <row r="2201" spans="1:4" x14ac:dyDescent="0.2">
      <c r="A2201" s="421" t="s">
        <v>269</v>
      </c>
      <c r="B2201" s="403">
        <f>MIN(B$2106:B$2199)</f>
        <v>543891.63</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E84"/>
  <sheetViews>
    <sheetView topLeftCell="A31" workbookViewId="0">
      <selection activeCell="H53" sqref="H53"/>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5.625" style="45" customWidth="1"/>
    <col min="7" max="9" width="22.375" customWidth="1"/>
    <col min="10" max="10" width="1.75" customWidth="1"/>
    <col min="11" max="11" width="22.375" customWidth="1"/>
    <col min="12" max="12" width="15.25" bestFit="1" customWidth="1"/>
    <col min="13" max="13" width="10.625" customWidth="1"/>
    <col min="15" max="15" width="10" bestFit="1" customWidth="1"/>
    <col min="17" max="17" width="11.5" bestFit="1" customWidth="1"/>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57" ht="22.5" customHeight="1" x14ac:dyDescent="0.4">
      <c r="A1" s="46" t="s">
        <v>93</v>
      </c>
      <c r="B1" s="47"/>
      <c r="C1" s="48"/>
      <c r="D1" s="48"/>
      <c r="E1" s="48"/>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row>
    <row r="2" spans="1:57" ht="22.5" customHeight="1" x14ac:dyDescent="0.4">
      <c r="A2" s="46" t="s">
        <v>406</v>
      </c>
      <c r="B2" s="47"/>
      <c r="C2" s="48"/>
      <c r="D2" s="48"/>
      <c r="E2" s="48"/>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row>
    <row r="3" spans="1:57" ht="22.5" customHeight="1" x14ac:dyDescent="0.4">
      <c r="A3" s="46" t="s">
        <v>407</v>
      </c>
      <c r="B3" s="47"/>
      <c r="C3" s="48"/>
      <c r="D3" s="48"/>
      <c r="E3" s="48"/>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row>
    <row r="4" spans="1:57" s="50" customFormat="1" ht="8.25" customHeight="1" thickBot="1" x14ac:dyDescent="0.25">
      <c r="A4" s="49"/>
      <c r="B4" s="49"/>
      <c r="C4" s="49"/>
      <c r="D4" s="49"/>
      <c r="E4" s="49"/>
      <c r="F4" s="49"/>
    </row>
    <row r="5" spans="1:57" s="53" customFormat="1" ht="24.75" customHeight="1" thickTop="1" thickBot="1" x14ac:dyDescent="0.25">
      <c r="A5" s="51" t="s">
        <v>107</v>
      </c>
      <c r="B5" s="51"/>
      <c r="C5" s="51"/>
      <c r="D5" s="51"/>
      <c r="E5" s="51"/>
      <c r="F5" s="51"/>
      <c r="G5" s="787" t="s">
        <v>49</v>
      </c>
      <c r="H5" s="787"/>
      <c r="I5" s="787"/>
      <c r="J5" s="787"/>
      <c r="K5" s="787"/>
      <c r="L5" s="336" t="s">
        <v>180</v>
      </c>
      <c r="M5" s="333" t="s">
        <v>192</v>
      </c>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row>
    <row r="6" spans="1:57" s="55" customFormat="1" ht="8.25" customHeight="1" thickTop="1" x14ac:dyDescent="0.2">
      <c r="A6" s="54"/>
      <c r="B6" s="54"/>
      <c r="C6" s="54"/>
      <c r="D6" s="54"/>
      <c r="E6" s="54"/>
      <c r="F6" s="54"/>
    </row>
    <row r="7" spans="1:57" s="55" customFormat="1" ht="75.75" customHeight="1" thickBot="1" x14ac:dyDescent="0.25">
      <c r="A7" s="54"/>
      <c r="B7" s="66" t="s">
        <v>99</v>
      </c>
      <c r="C7" s="66"/>
      <c r="D7" s="66"/>
      <c r="E7" s="66"/>
      <c r="F7" s="66"/>
      <c r="G7" s="593" t="s">
        <v>403</v>
      </c>
      <c r="H7" s="594" t="s">
        <v>404</v>
      </c>
      <c r="I7" s="594" t="s">
        <v>408</v>
      </c>
      <c r="J7" s="594"/>
      <c r="K7" s="593" t="s">
        <v>409</v>
      </c>
      <c r="L7" s="788" t="s">
        <v>410</v>
      </c>
      <c r="M7" s="788"/>
    </row>
    <row r="8" spans="1:57" s="55" customFormat="1" ht="20.25" x14ac:dyDescent="0.2">
      <c r="A8" s="54"/>
      <c r="B8" s="54"/>
      <c r="C8" s="58" t="s">
        <v>100</v>
      </c>
      <c r="D8" s="58"/>
      <c r="E8" s="58"/>
      <c r="F8" s="54"/>
      <c r="G8" s="202">
        <v>360098</v>
      </c>
      <c r="H8" s="202">
        <v>315760.04333000001</v>
      </c>
      <c r="I8" s="202">
        <v>675858.04333000001</v>
      </c>
      <c r="J8" s="202"/>
      <c r="K8" s="202">
        <v>811777</v>
      </c>
      <c r="L8" s="317">
        <v>-135918.95666999999</v>
      </c>
      <c r="M8" s="334">
        <v>-0.16743386012414738</v>
      </c>
    </row>
    <row r="9" spans="1:57" s="55" customFormat="1" ht="20.25" x14ac:dyDescent="0.2">
      <c r="A9" s="54"/>
      <c r="B9" s="54"/>
      <c r="C9" s="58" t="s">
        <v>149</v>
      </c>
      <c r="D9" s="58"/>
      <c r="E9" s="58"/>
      <c r="F9" s="54"/>
      <c r="G9" s="193">
        <v>41504</v>
      </c>
      <c r="H9" s="193">
        <v>25300</v>
      </c>
      <c r="I9" s="193">
        <v>66804</v>
      </c>
      <c r="J9" s="193"/>
      <c r="K9" s="193">
        <v>175000</v>
      </c>
      <c r="L9" s="409">
        <v>-108196</v>
      </c>
      <c r="M9" s="334">
        <v>-0.61826285714285711</v>
      </c>
    </row>
    <row r="10" spans="1:57" s="55" customFormat="1" ht="20.25" x14ac:dyDescent="0.2">
      <c r="A10" s="54"/>
      <c r="B10" s="54"/>
      <c r="C10" s="58" t="s">
        <v>178</v>
      </c>
      <c r="D10" s="58"/>
      <c r="E10" s="58"/>
      <c r="F10" s="54"/>
      <c r="G10" s="193">
        <v>14147</v>
      </c>
      <c r="H10" s="193">
        <v>24011.0864</v>
      </c>
      <c r="I10" s="193">
        <v>38158.0864</v>
      </c>
      <c r="J10" s="193"/>
      <c r="K10" s="193">
        <v>49619</v>
      </c>
      <c r="L10" s="409">
        <v>-11460.9136</v>
      </c>
      <c r="M10" s="334">
        <v>-0.23097832685060157</v>
      </c>
    </row>
    <row r="11" spans="1:57" s="55" customFormat="1" ht="20.25" x14ac:dyDescent="0.2">
      <c r="A11" s="54"/>
      <c r="B11" s="54"/>
      <c r="C11" s="58" t="s">
        <v>101</v>
      </c>
      <c r="D11" s="58"/>
      <c r="E11" s="58"/>
      <c r="F11" s="54"/>
      <c r="G11" s="193"/>
      <c r="H11" s="193"/>
      <c r="I11" s="193">
        <v>0</v>
      </c>
      <c r="J11" s="193"/>
      <c r="K11" s="193"/>
      <c r="L11" s="409"/>
      <c r="M11" s="334"/>
    </row>
    <row r="12" spans="1:57" s="55" customFormat="1" ht="20.25" x14ac:dyDescent="0.2">
      <c r="A12" s="54"/>
      <c r="B12" s="54"/>
      <c r="D12" s="58" t="s">
        <v>138</v>
      </c>
      <c r="E12" s="58"/>
      <c r="F12" s="54"/>
      <c r="G12" s="193">
        <v>103487</v>
      </c>
      <c r="H12" s="193">
        <v>87197.56</v>
      </c>
      <c r="I12" s="193">
        <v>190684.56</v>
      </c>
      <c r="J12" s="193"/>
      <c r="K12" s="193">
        <v>196175</v>
      </c>
      <c r="L12" s="409">
        <v>-5490.4400000000023</v>
      </c>
      <c r="M12" s="334">
        <v>-2.7987460175863399E-2</v>
      </c>
      <c r="O12" s="386"/>
      <c r="P12" s="385"/>
      <c r="Q12" s="385"/>
    </row>
    <row r="13" spans="1:57" s="55" customFormat="1" ht="20.25" x14ac:dyDescent="0.2">
      <c r="A13" s="54"/>
      <c r="B13" s="54"/>
      <c r="D13" s="58" t="s">
        <v>158</v>
      </c>
      <c r="E13" s="58"/>
      <c r="F13" s="54"/>
      <c r="G13" s="193">
        <v>9000</v>
      </c>
      <c r="H13" s="193">
        <v>9000</v>
      </c>
      <c r="I13" s="193">
        <v>18000</v>
      </c>
      <c r="J13" s="193"/>
      <c r="K13" s="193">
        <v>18000</v>
      </c>
      <c r="L13" s="409">
        <v>0</v>
      </c>
      <c r="M13" s="334">
        <v>0</v>
      </c>
      <c r="O13" s="318"/>
      <c r="P13" s="387"/>
      <c r="Q13" s="304"/>
    </row>
    <row r="14" spans="1:57" s="55" customFormat="1" ht="20.25" x14ac:dyDescent="0.2">
      <c r="A14" s="54"/>
      <c r="B14" s="54"/>
      <c r="C14" s="58"/>
      <c r="D14" s="58" t="s">
        <v>399</v>
      </c>
      <c r="E14" s="58"/>
      <c r="F14" s="54"/>
      <c r="G14" s="193">
        <v>48393</v>
      </c>
      <c r="H14" s="193">
        <v>58479.097600000001</v>
      </c>
      <c r="I14" s="193">
        <v>106872.09760000001</v>
      </c>
      <c r="J14" s="193"/>
      <c r="K14" s="193">
        <v>169400</v>
      </c>
      <c r="L14" s="409">
        <v>-62527.902399999992</v>
      </c>
      <c r="M14" s="334">
        <v>-0.36911394569067291</v>
      </c>
      <c r="O14" s="318"/>
      <c r="P14" s="387"/>
      <c r="Q14" s="304"/>
    </row>
    <row r="15" spans="1:57" s="55" customFormat="1" ht="20.25" x14ac:dyDescent="0.2">
      <c r="A15" s="54"/>
      <c r="B15" s="54"/>
      <c r="C15" s="58" t="s">
        <v>374</v>
      </c>
      <c r="D15" s="58"/>
      <c r="E15" s="58"/>
      <c r="F15" s="54"/>
      <c r="G15" s="193">
        <v>5140</v>
      </c>
      <c r="H15" s="193">
        <v>5045</v>
      </c>
      <c r="I15" s="193">
        <v>10185</v>
      </c>
      <c r="J15" s="193"/>
      <c r="K15" s="193">
        <v>17000</v>
      </c>
      <c r="L15" s="409">
        <v>-6815</v>
      </c>
      <c r="M15" s="334">
        <v>-0.40088235294117647</v>
      </c>
      <c r="O15" s="318"/>
      <c r="P15" s="387"/>
      <c r="Q15" s="304"/>
    </row>
    <row r="16" spans="1:57" s="55" customFormat="1" ht="20.25" x14ac:dyDescent="0.2">
      <c r="A16" s="54"/>
      <c r="B16" s="54"/>
      <c r="C16" s="58" t="s">
        <v>109</v>
      </c>
      <c r="D16" s="58"/>
      <c r="E16" s="58"/>
      <c r="F16" s="54"/>
      <c r="G16" s="193">
        <v>701</v>
      </c>
      <c r="H16" s="193">
        <v>592.29</v>
      </c>
      <c r="I16" s="193">
        <v>1293.29</v>
      </c>
      <c r="J16" s="193"/>
      <c r="K16" s="193">
        <v>1200</v>
      </c>
      <c r="L16" s="409">
        <v>93.289999999999964</v>
      </c>
      <c r="M16" s="334">
        <v>7.7741666666666639E-2</v>
      </c>
      <c r="O16" s="318"/>
      <c r="P16" s="387"/>
      <c r="Q16" s="304"/>
    </row>
    <row r="17" spans="1:17" s="55" customFormat="1" ht="20.25" x14ac:dyDescent="0.2">
      <c r="A17" s="54"/>
      <c r="B17" s="54"/>
      <c r="C17" s="58" t="s">
        <v>236</v>
      </c>
      <c r="D17" s="58"/>
      <c r="E17" s="58"/>
      <c r="F17" s="54"/>
      <c r="G17" s="193">
        <v>2152</v>
      </c>
      <c r="H17" s="193">
        <v>1900</v>
      </c>
      <c r="I17" s="193">
        <v>4052</v>
      </c>
      <c r="J17" s="193"/>
      <c r="K17" s="193">
        <v>4200</v>
      </c>
      <c r="L17" s="409">
        <v>-148</v>
      </c>
      <c r="M17" s="334">
        <v>-3.5238095238095235E-2</v>
      </c>
      <c r="O17" s="318"/>
      <c r="P17" s="387"/>
      <c r="Q17" s="304"/>
    </row>
    <row r="18" spans="1:17" s="55" customFormat="1" ht="20.25" x14ac:dyDescent="0.2">
      <c r="A18" s="54"/>
      <c r="B18" s="54"/>
      <c r="C18" s="58" t="s">
        <v>318</v>
      </c>
      <c r="D18" s="58"/>
      <c r="E18" s="58"/>
      <c r="F18" s="54"/>
      <c r="G18" s="193">
        <v>-2942</v>
      </c>
      <c r="H18" s="193">
        <v>0</v>
      </c>
      <c r="I18" s="193">
        <v>-2942</v>
      </c>
      <c r="J18" s="193"/>
      <c r="K18" s="193">
        <v>1500</v>
      </c>
      <c r="L18" s="409">
        <v>-4442</v>
      </c>
      <c r="M18" s="334">
        <v>-2.9613333333333332</v>
      </c>
      <c r="O18" s="318"/>
      <c r="P18" s="387"/>
      <c r="Q18" s="304"/>
    </row>
    <row r="19" spans="1:17" s="55" customFormat="1" ht="20.25" x14ac:dyDescent="0.2">
      <c r="A19" s="54"/>
      <c r="B19" s="54"/>
      <c r="C19" s="58" t="s">
        <v>411</v>
      </c>
      <c r="D19" s="58"/>
      <c r="E19" s="58"/>
      <c r="F19" s="54"/>
      <c r="G19" s="193"/>
      <c r="H19" s="193"/>
      <c r="I19" s="193">
        <v>0</v>
      </c>
      <c r="J19" s="193"/>
      <c r="K19" s="193"/>
      <c r="L19" s="409">
        <v>0</v>
      </c>
      <c r="M19" s="334"/>
      <c r="O19" s="318"/>
      <c r="P19" s="387"/>
      <c r="Q19" s="304"/>
    </row>
    <row r="20" spans="1:17" s="55" customFormat="1" ht="20.25" x14ac:dyDescent="0.2">
      <c r="A20" s="54"/>
      <c r="B20" s="54"/>
      <c r="C20" s="58"/>
      <c r="D20" s="58" t="s">
        <v>11</v>
      </c>
      <c r="E20" s="58"/>
      <c r="F20" s="54"/>
      <c r="G20" s="193">
        <v>15479.72</v>
      </c>
      <c r="H20" s="193">
        <v>16194.880000000001</v>
      </c>
      <c r="I20" s="193">
        <v>31674.6</v>
      </c>
      <c r="J20" s="193"/>
      <c r="K20" s="193">
        <v>29543</v>
      </c>
      <c r="L20" s="409">
        <v>2131.5999999999985</v>
      </c>
      <c r="M20" s="334">
        <v>7.2152455742477015E-2</v>
      </c>
      <c r="O20" s="318"/>
      <c r="P20" s="387"/>
      <c r="Q20" s="304"/>
    </row>
    <row r="21" spans="1:17" s="55" customFormat="1" ht="20.25" x14ac:dyDescent="0.2">
      <c r="A21" s="54"/>
      <c r="B21" s="54"/>
      <c r="C21" s="58"/>
      <c r="D21" s="58" t="s">
        <v>392</v>
      </c>
      <c r="E21" s="58"/>
      <c r="F21" s="58"/>
      <c r="G21" s="193">
        <v>4073</v>
      </c>
      <c r="H21" s="193">
        <v>1960.0200000000002</v>
      </c>
      <c r="I21" s="193">
        <v>6033.02</v>
      </c>
      <c r="J21" s="193"/>
      <c r="K21" s="193">
        <v>5000</v>
      </c>
      <c r="L21" s="409">
        <v>1033.0200000000004</v>
      </c>
      <c r="M21" s="334">
        <v>0.20660400000000009</v>
      </c>
      <c r="O21" s="318"/>
      <c r="P21" s="387"/>
      <c r="Q21" s="304"/>
    </row>
    <row r="22" spans="1:17" s="55" customFormat="1" ht="20.25" x14ac:dyDescent="0.2">
      <c r="A22" s="54"/>
      <c r="B22" s="54"/>
      <c r="C22" s="591"/>
      <c r="D22" s="58" t="s">
        <v>17</v>
      </c>
      <c r="E22" s="591"/>
      <c r="F22" s="591"/>
      <c r="G22" s="193">
        <v>25000</v>
      </c>
      <c r="H22" s="193">
        <v>25000</v>
      </c>
      <c r="I22" s="193">
        <v>50000</v>
      </c>
      <c r="J22" s="193"/>
      <c r="K22" s="193">
        <v>50000</v>
      </c>
      <c r="L22" s="409">
        <v>0</v>
      </c>
      <c r="M22" s="334">
        <v>0</v>
      </c>
      <c r="O22" s="318"/>
      <c r="P22" s="387"/>
      <c r="Q22" s="304"/>
    </row>
    <row r="23" spans="1:17" s="55" customFormat="1" ht="20.25" x14ac:dyDescent="0.2">
      <c r="A23" s="54"/>
      <c r="B23" s="54"/>
      <c r="C23" s="591"/>
      <c r="D23" s="58" t="s">
        <v>412</v>
      </c>
      <c r="E23" s="591"/>
      <c r="F23" s="591"/>
      <c r="G23" s="193">
        <v>15000</v>
      </c>
      <c r="H23" s="193">
        <v>0</v>
      </c>
      <c r="I23" s="193">
        <v>15000</v>
      </c>
      <c r="J23" s="193"/>
      <c r="K23" s="193">
        <v>0</v>
      </c>
      <c r="L23" s="409">
        <v>15000</v>
      </c>
      <c r="M23" s="334"/>
      <c r="O23" s="318"/>
      <c r="P23" s="387"/>
      <c r="Q23" s="304"/>
    </row>
    <row r="24" spans="1:17" s="55" customFormat="1" ht="20.25" x14ac:dyDescent="0.2">
      <c r="A24" s="54"/>
      <c r="B24" s="54"/>
      <c r="C24" s="591"/>
      <c r="D24" s="58" t="s">
        <v>413</v>
      </c>
      <c r="E24" s="591"/>
      <c r="F24" s="591"/>
      <c r="G24" s="193">
        <v>5488</v>
      </c>
      <c r="H24" s="193">
        <v>0</v>
      </c>
      <c r="I24" s="193">
        <v>5488</v>
      </c>
      <c r="J24" s="193"/>
      <c r="K24" s="193">
        <v>0</v>
      </c>
      <c r="L24" s="409">
        <v>5488</v>
      </c>
      <c r="M24" s="334"/>
      <c r="O24" s="318"/>
      <c r="P24" s="387"/>
      <c r="Q24" s="304"/>
    </row>
    <row r="25" spans="1:17" s="55" customFormat="1" ht="20.25" x14ac:dyDescent="0.2">
      <c r="A25" s="54"/>
      <c r="B25" s="54"/>
      <c r="C25" s="58" t="s">
        <v>320</v>
      </c>
      <c r="D25" s="591"/>
      <c r="E25" s="591"/>
      <c r="F25" s="591"/>
      <c r="G25" s="193">
        <v>0</v>
      </c>
      <c r="H25" s="193">
        <v>0</v>
      </c>
      <c r="I25" s="193">
        <v>0</v>
      </c>
      <c r="J25" s="193"/>
      <c r="K25" s="193">
        <v>2000</v>
      </c>
      <c r="L25" s="409">
        <v>-2000</v>
      </c>
      <c r="M25" s="334">
        <v>-1</v>
      </c>
      <c r="O25" s="318"/>
      <c r="P25" s="387"/>
      <c r="Q25" s="304"/>
    </row>
    <row r="26" spans="1:17" s="55" customFormat="1" ht="20.25" x14ac:dyDescent="0.2">
      <c r="A26" s="54"/>
      <c r="B26" s="54"/>
      <c r="C26" s="58" t="s">
        <v>108</v>
      </c>
      <c r="D26" s="591"/>
      <c r="E26" s="591"/>
      <c r="F26" s="591"/>
      <c r="G26" s="193">
        <v>23288</v>
      </c>
      <c r="H26" s="193">
        <v>23288</v>
      </c>
      <c r="I26" s="193">
        <v>46576</v>
      </c>
      <c r="J26" s="193"/>
      <c r="K26" s="193">
        <v>46576</v>
      </c>
      <c r="L26" s="409">
        <v>0</v>
      </c>
      <c r="M26" s="334">
        <v>0</v>
      </c>
      <c r="O26" s="318"/>
      <c r="P26" s="387"/>
      <c r="Q26" s="304"/>
    </row>
    <row r="27" spans="1:17" s="55" customFormat="1" ht="20.25" x14ac:dyDescent="0.2">
      <c r="A27" s="54"/>
      <c r="B27" s="54"/>
      <c r="C27" s="58" t="s">
        <v>414</v>
      </c>
      <c r="D27" s="591"/>
      <c r="E27" s="591"/>
      <c r="F27" s="591"/>
      <c r="G27" s="193">
        <v>11328.2</v>
      </c>
      <c r="H27" s="193">
        <v>10450</v>
      </c>
      <c r="I27" s="193">
        <v>21778.2</v>
      </c>
      <c r="J27" s="193"/>
      <c r="K27" s="193">
        <v>3500</v>
      </c>
      <c r="L27" s="409">
        <v>18278.2</v>
      </c>
      <c r="M27" s="334">
        <v>5.2223428571428574</v>
      </c>
      <c r="O27" s="318"/>
      <c r="P27" s="387"/>
      <c r="Q27" s="304"/>
    </row>
    <row r="28" spans="1:17" s="55" customFormat="1" ht="20.25" x14ac:dyDescent="0.2">
      <c r="A28" s="54"/>
      <c r="B28" s="54"/>
      <c r="C28" s="58" t="s">
        <v>101</v>
      </c>
      <c r="D28" s="591"/>
      <c r="E28" s="591"/>
      <c r="F28" s="591"/>
      <c r="G28" s="193">
        <v>9500</v>
      </c>
      <c r="H28" s="193">
        <v>9499.7799999999988</v>
      </c>
      <c r="I28" s="193">
        <v>18999.78</v>
      </c>
      <c r="J28" s="193"/>
      <c r="K28" s="193">
        <v>19000</v>
      </c>
      <c r="L28" s="409">
        <v>-0.22000000000116415</v>
      </c>
      <c r="M28" s="334">
        <v>-1.1578947368482324E-5</v>
      </c>
      <c r="O28" s="318"/>
      <c r="P28" s="387"/>
      <c r="Q28" s="304"/>
    </row>
    <row r="29" spans="1:17" s="55" customFormat="1" ht="20.25" x14ac:dyDescent="0.2">
      <c r="A29" s="54"/>
      <c r="B29" s="54"/>
      <c r="C29" s="58" t="s">
        <v>317</v>
      </c>
      <c r="D29" s="591"/>
      <c r="E29" s="591"/>
      <c r="F29" s="591"/>
      <c r="G29" s="193">
        <v>26000</v>
      </c>
      <c r="H29" s="193">
        <v>20800.019999999997</v>
      </c>
      <c r="I29" s="193">
        <v>46800.02</v>
      </c>
      <c r="J29" s="193"/>
      <c r="K29" s="193">
        <v>53000</v>
      </c>
      <c r="L29" s="409">
        <v>-6199.9800000000032</v>
      </c>
      <c r="M29" s="334">
        <v>-0.11698075471698119</v>
      </c>
      <c r="O29" s="318"/>
      <c r="P29" s="387"/>
      <c r="Q29" s="304"/>
    </row>
    <row r="30" spans="1:17" s="55" customFormat="1" ht="20.25" x14ac:dyDescent="0.2">
      <c r="A30" s="54"/>
      <c r="B30" s="54"/>
      <c r="C30" s="58" t="s">
        <v>319</v>
      </c>
      <c r="D30" s="591"/>
      <c r="E30" s="591"/>
      <c r="F30" s="591"/>
      <c r="G30" s="193">
        <v>5764.37</v>
      </c>
      <c r="H30" s="193">
        <v>5781</v>
      </c>
      <c r="I30" s="193">
        <v>11545.369999999999</v>
      </c>
      <c r="J30" s="193"/>
      <c r="K30" s="193">
        <v>16835</v>
      </c>
      <c r="L30" s="409">
        <v>-5289.630000000001</v>
      </c>
      <c r="M30" s="334">
        <v>-0.31420433620433624</v>
      </c>
      <c r="O30" s="318"/>
      <c r="P30" s="387"/>
      <c r="Q30" s="304"/>
    </row>
    <row r="31" spans="1:17" s="55" customFormat="1" ht="20.25" x14ac:dyDescent="0.2">
      <c r="A31" s="54"/>
      <c r="B31" s="54"/>
      <c r="C31" s="58"/>
      <c r="D31" s="54" t="s">
        <v>104</v>
      </c>
      <c r="E31" s="58"/>
      <c r="F31" s="54"/>
      <c r="G31" s="201">
        <v>722601.28999999992</v>
      </c>
      <c r="H31" s="201">
        <v>640258.77733000007</v>
      </c>
      <c r="I31" s="201">
        <v>1362860.0673300002</v>
      </c>
      <c r="J31" s="201"/>
      <c r="K31" s="201">
        <v>1669325</v>
      </c>
      <c r="L31" s="598">
        <v>-306464.93267000001</v>
      </c>
      <c r="M31" s="599">
        <v>-0.18358613970916388</v>
      </c>
    </row>
    <row r="32" spans="1:17" s="55" customFormat="1" ht="20.25" x14ac:dyDescent="0.2">
      <c r="A32" s="54"/>
      <c r="B32" s="54"/>
      <c r="C32" s="58"/>
      <c r="D32" s="54"/>
      <c r="E32" s="58"/>
      <c r="F32" s="54"/>
      <c r="G32" s="193"/>
      <c r="H32" s="193"/>
      <c r="I32" s="193"/>
      <c r="J32" s="193"/>
      <c r="K32" s="480"/>
    </row>
    <row r="33" spans="1:15" s="55" customFormat="1" ht="21" thickBot="1" x14ac:dyDescent="0.25">
      <c r="A33" s="54"/>
      <c r="B33" s="66" t="s">
        <v>110</v>
      </c>
      <c r="C33" s="66"/>
      <c r="D33" s="66"/>
      <c r="E33" s="66"/>
      <c r="F33" s="66"/>
      <c r="G33" s="193"/>
      <c r="H33" s="193"/>
      <c r="I33" s="193"/>
      <c r="J33" s="193"/>
    </row>
    <row r="34" spans="1:15" s="55" customFormat="1" ht="20.25" x14ac:dyDescent="0.2">
      <c r="A34" s="54"/>
      <c r="B34" s="54"/>
      <c r="C34" s="58" t="s">
        <v>111</v>
      </c>
      <c r="D34" s="58"/>
      <c r="E34" s="58"/>
      <c r="F34" s="58"/>
      <c r="G34" s="193">
        <v>447013.99</v>
      </c>
      <c r="H34" s="193">
        <v>440623.07</v>
      </c>
      <c r="I34" s="193">
        <v>887637.06</v>
      </c>
      <c r="J34" s="193"/>
      <c r="K34" s="600">
        <v>1102996</v>
      </c>
      <c r="L34" s="409">
        <v>-215358.93999999994</v>
      </c>
      <c r="M34" s="354">
        <v>-0.19524906708637196</v>
      </c>
    </row>
    <row r="35" spans="1:15" s="55" customFormat="1" ht="20.25" x14ac:dyDescent="0.2">
      <c r="A35" s="54"/>
      <c r="B35" s="54"/>
      <c r="C35" s="58" t="s">
        <v>112</v>
      </c>
      <c r="D35" s="58"/>
      <c r="E35" s="58"/>
      <c r="F35" s="58"/>
      <c r="G35" s="193">
        <v>102132.08</v>
      </c>
      <c r="H35" s="193">
        <v>85992.050000000017</v>
      </c>
      <c r="I35" s="193">
        <v>188124.13</v>
      </c>
      <c r="J35" s="193"/>
      <c r="K35" s="230">
        <v>224967</v>
      </c>
      <c r="L35" s="409">
        <v>-36842.869999999995</v>
      </c>
      <c r="M35" s="354">
        <v>-0.16377010850480292</v>
      </c>
    </row>
    <row r="36" spans="1:15" s="55" customFormat="1" ht="20.25" x14ac:dyDescent="0.2">
      <c r="A36" s="54"/>
      <c r="B36" s="54"/>
      <c r="C36" s="58" t="s">
        <v>113</v>
      </c>
      <c r="D36" s="58"/>
      <c r="E36" s="58"/>
      <c r="F36" s="58"/>
      <c r="G36" s="193">
        <v>900</v>
      </c>
      <c r="H36" s="193">
        <v>900</v>
      </c>
      <c r="I36" s="193">
        <v>1800</v>
      </c>
      <c r="J36" s="193"/>
      <c r="K36" s="230">
        <v>1800</v>
      </c>
      <c r="L36" s="409">
        <v>0</v>
      </c>
      <c r="M36" s="354">
        <v>0</v>
      </c>
    </row>
    <row r="37" spans="1:15" s="55" customFormat="1" ht="20.25" x14ac:dyDescent="0.2">
      <c r="A37" s="54"/>
      <c r="B37" s="54"/>
      <c r="C37" s="58" t="s">
        <v>103</v>
      </c>
      <c r="D37" s="58"/>
      <c r="E37" s="58"/>
      <c r="F37" s="58"/>
      <c r="G37" s="193">
        <v>23288</v>
      </c>
      <c r="H37" s="193">
        <v>23288</v>
      </c>
      <c r="I37" s="193">
        <v>46576</v>
      </c>
      <c r="J37" s="193"/>
      <c r="K37" s="230">
        <v>46576</v>
      </c>
      <c r="L37" s="409">
        <v>0</v>
      </c>
      <c r="M37" s="354">
        <v>0</v>
      </c>
    </row>
    <row r="38" spans="1:15" s="55" customFormat="1" ht="20.25" x14ac:dyDescent="0.2">
      <c r="A38" s="54"/>
      <c r="B38" s="54"/>
      <c r="C38" s="58" t="s">
        <v>114</v>
      </c>
      <c r="D38" s="58"/>
      <c r="E38" s="58"/>
      <c r="F38" s="58"/>
      <c r="G38" s="193">
        <v>10831.87</v>
      </c>
      <c r="H38" s="193">
        <v>10418.370000000001</v>
      </c>
      <c r="I38" s="193">
        <v>21250.240000000002</v>
      </c>
      <c r="J38" s="193"/>
      <c r="K38" s="230">
        <v>19050</v>
      </c>
      <c r="L38" s="409">
        <v>2200.2400000000016</v>
      </c>
      <c r="M38" s="354">
        <v>0.11549816272965888</v>
      </c>
    </row>
    <row r="39" spans="1:15" s="55" customFormat="1" ht="20.25" x14ac:dyDescent="0.2">
      <c r="A39" s="54"/>
      <c r="B39" s="54"/>
      <c r="C39" s="58" t="s">
        <v>115</v>
      </c>
      <c r="D39" s="58"/>
      <c r="E39" s="58"/>
      <c r="F39" s="58"/>
      <c r="G39" s="193">
        <v>1224.3499999999999</v>
      </c>
      <c r="H39" s="193">
        <v>1207.24</v>
      </c>
      <c r="I39" s="193">
        <v>2431.59</v>
      </c>
      <c r="J39" s="193"/>
      <c r="K39" s="230">
        <v>3377</v>
      </c>
      <c r="L39" s="409">
        <v>-945.40999999999985</v>
      </c>
      <c r="M39" s="354">
        <v>-0.27995558187740593</v>
      </c>
    </row>
    <row r="40" spans="1:15" s="55" customFormat="1" ht="20.25" x14ac:dyDescent="0.2">
      <c r="A40" s="54"/>
      <c r="B40" s="54"/>
      <c r="C40" s="58" t="s">
        <v>116</v>
      </c>
      <c r="D40" s="58"/>
      <c r="E40" s="58"/>
      <c r="F40" s="58"/>
      <c r="G40" s="193">
        <v>1941.95</v>
      </c>
      <c r="H40" s="193">
        <v>1791.4500000000003</v>
      </c>
      <c r="I40" s="193">
        <v>3733.4000000000005</v>
      </c>
      <c r="J40" s="193"/>
      <c r="K40" s="230">
        <v>4254</v>
      </c>
      <c r="L40" s="409">
        <v>-520.59999999999945</v>
      </c>
      <c r="M40" s="354">
        <v>-0.12237893747061576</v>
      </c>
    </row>
    <row r="41" spans="1:15" s="55" customFormat="1" ht="20.25" x14ac:dyDescent="0.2">
      <c r="A41" s="54"/>
      <c r="B41" s="54"/>
      <c r="C41" s="58" t="s">
        <v>117</v>
      </c>
      <c r="D41" s="58"/>
      <c r="E41" s="58"/>
      <c r="F41" s="58"/>
      <c r="G41" s="193">
        <v>525.84</v>
      </c>
      <c r="H41" s="193">
        <v>1029.27</v>
      </c>
      <c r="I41" s="193">
        <v>1555.1100000000001</v>
      </c>
      <c r="J41" s="193"/>
      <c r="K41" s="230">
        <v>12334</v>
      </c>
      <c r="L41" s="409">
        <v>-10778.89</v>
      </c>
      <c r="M41" s="354">
        <v>-0.8739168153072806</v>
      </c>
    </row>
    <row r="42" spans="1:15" s="55" customFormat="1" ht="20.25" x14ac:dyDescent="0.2">
      <c r="A42" s="54"/>
      <c r="B42" s="54"/>
      <c r="C42" s="58" t="s">
        <v>118</v>
      </c>
      <c r="D42" s="58"/>
      <c r="E42" s="58"/>
      <c r="F42" s="58"/>
      <c r="G42" s="193">
        <v>18906.52</v>
      </c>
      <c r="H42" s="193">
        <v>15450</v>
      </c>
      <c r="I42" s="193">
        <v>34356.520000000004</v>
      </c>
      <c r="J42" s="193"/>
      <c r="K42" s="230">
        <v>38115</v>
      </c>
      <c r="L42" s="409">
        <v>-3758.4799999999959</v>
      </c>
      <c r="M42" s="354">
        <v>-9.8608946608946507E-2</v>
      </c>
    </row>
    <row r="43" spans="1:15" s="55" customFormat="1" ht="20.25" x14ac:dyDescent="0.2">
      <c r="A43" s="54"/>
      <c r="B43" s="54"/>
      <c r="C43" s="58" t="s">
        <v>119</v>
      </c>
      <c r="D43" s="58"/>
      <c r="E43" s="58"/>
      <c r="F43" s="58"/>
      <c r="G43" s="193">
        <v>672.76</v>
      </c>
      <c r="H43" s="193">
        <v>828.07</v>
      </c>
      <c r="I43" s="193">
        <v>1500.83</v>
      </c>
      <c r="J43" s="193"/>
      <c r="K43" s="230">
        <v>5448</v>
      </c>
      <c r="L43" s="409">
        <v>-3947.17</v>
      </c>
      <c r="M43" s="354">
        <v>-0.72451725403817913</v>
      </c>
    </row>
    <row r="44" spans="1:15" s="55" customFormat="1" ht="20.25" x14ac:dyDescent="0.2">
      <c r="A44" s="54"/>
      <c r="B44" s="54"/>
      <c r="C44" s="58" t="s">
        <v>120</v>
      </c>
      <c r="D44" s="58"/>
      <c r="E44" s="58"/>
      <c r="F44" s="58"/>
      <c r="G44" s="193">
        <v>419</v>
      </c>
      <c r="H44" s="193">
        <v>588.96333333333337</v>
      </c>
      <c r="I44" s="193">
        <v>1007.9633333333334</v>
      </c>
      <c r="J44" s="193"/>
      <c r="K44" s="230">
        <v>1262</v>
      </c>
      <c r="L44" s="409">
        <v>-254.03666666666663</v>
      </c>
      <c r="M44" s="354">
        <v>-0.20129688325409401</v>
      </c>
    </row>
    <row r="45" spans="1:15" s="55" customFormat="1" ht="20.25" x14ac:dyDescent="0.2">
      <c r="A45" s="54"/>
      <c r="B45" s="54"/>
      <c r="C45" s="58" t="s">
        <v>165</v>
      </c>
      <c r="D45" s="58"/>
      <c r="E45" s="58"/>
      <c r="F45" s="58"/>
      <c r="G45" s="193">
        <v>7425</v>
      </c>
      <c r="H45" s="193">
        <v>2735</v>
      </c>
      <c r="I45" s="193">
        <v>10160</v>
      </c>
      <c r="J45" s="193"/>
      <c r="K45" s="230">
        <v>12600</v>
      </c>
      <c r="L45" s="409">
        <v>-2440</v>
      </c>
      <c r="M45" s="354">
        <v>-0.19365079365079366</v>
      </c>
    </row>
    <row r="46" spans="1:15" s="55" customFormat="1" ht="20.25" x14ac:dyDescent="0.2">
      <c r="A46" s="54"/>
      <c r="B46" s="54"/>
      <c r="C46" s="789" t="s">
        <v>322</v>
      </c>
      <c r="D46" s="789"/>
      <c r="E46" s="789"/>
      <c r="F46" s="789"/>
      <c r="G46" s="193">
        <v>67</v>
      </c>
      <c r="H46" s="193">
        <v>0</v>
      </c>
      <c r="I46" s="193">
        <v>67</v>
      </c>
      <c r="J46" s="193"/>
      <c r="K46" s="230">
        <v>0</v>
      </c>
      <c r="L46" s="409">
        <v>67</v>
      </c>
      <c r="M46" s="354"/>
      <c r="O46" s="578"/>
    </row>
    <row r="47" spans="1:15" s="55" customFormat="1" ht="20.25" x14ac:dyDescent="0.2">
      <c r="A47" s="54"/>
      <c r="B47" s="54"/>
      <c r="C47" s="58" t="s">
        <v>121</v>
      </c>
      <c r="D47" s="58"/>
      <c r="E47" s="58"/>
      <c r="F47" s="58"/>
      <c r="G47" s="193">
        <v>9698.2999999999993</v>
      </c>
      <c r="H47" s="193">
        <v>6282.170000000001</v>
      </c>
      <c r="I47" s="193">
        <v>15980.470000000001</v>
      </c>
      <c r="J47" s="193"/>
      <c r="K47" s="230">
        <v>12425</v>
      </c>
      <c r="L47" s="409">
        <v>3555.4700000000012</v>
      </c>
      <c r="M47" s="354">
        <v>0.28615452716297796</v>
      </c>
    </row>
    <row r="48" spans="1:15" s="55" customFormat="1" ht="20.25" x14ac:dyDescent="0.2">
      <c r="A48" s="54"/>
      <c r="B48" s="54"/>
      <c r="C48" s="58" t="s">
        <v>122</v>
      </c>
      <c r="D48" s="58"/>
      <c r="E48" s="58"/>
      <c r="F48" s="58"/>
      <c r="G48" s="193">
        <v>5409.5</v>
      </c>
      <c r="H48" s="193">
        <v>6493.7800000000007</v>
      </c>
      <c r="I48" s="193">
        <v>11903.28</v>
      </c>
      <c r="J48" s="193"/>
      <c r="K48" s="230">
        <v>11716</v>
      </c>
      <c r="L48" s="409">
        <v>187.28000000000065</v>
      </c>
      <c r="M48" s="354">
        <v>1.5984977808125696E-2</v>
      </c>
      <c r="O48" s="578"/>
    </row>
    <row r="49" spans="1:17" s="55" customFormat="1" ht="20.25" x14ac:dyDescent="0.2">
      <c r="A49" s="54"/>
      <c r="B49" s="54"/>
      <c r="C49" s="58" t="s">
        <v>129</v>
      </c>
      <c r="D49" s="58"/>
      <c r="E49" s="58"/>
      <c r="F49" s="58"/>
      <c r="G49" s="193">
        <v>733.4</v>
      </c>
      <c r="H49" s="193">
        <v>410</v>
      </c>
      <c r="I49" s="193">
        <v>1143.4000000000001</v>
      </c>
      <c r="J49" s="193"/>
      <c r="K49" s="230">
        <v>1280</v>
      </c>
      <c r="L49" s="409">
        <v>-136.59999999999991</v>
      </c>
      <c r="M49" s="354">
        <v>-0.10671874999999993</v>
      </c>
    </row>
    <row r="50" spans="1:17" s="55" customFormat="1" ht="20.25" x14ac:dyDescent="0.2">
      <c r="A50" s="54"/>
      <c r="B50" s="54"/>
      <c r="C50" s="58" t="s">
        <v>123</v>
      </c>
      <c r="D50" s="58"/>
      <c r="E50" s="58"/>
      <c r="F50" s="58"/>
      <c r="G50" s="193">
        <v>540.31999999999994</v>
      </c>
      <c r="H50" s="193">
        <v>0</v>
      </c>
      <c r="I50" s="193">
        <v>540.31999999999994</v>
      </c>
      <c r="J50" s="193"/>
      <c r="K50" s="230">
        <v>10470</v>
      </c>
      <c r="L50" s="409">
        <v>-9929.68</v>
      </c>
      <c r="M50" s="354">
        <v>-0.94839350525310417</v>
      </c>
      <c r="O50" s="578"/>
    </row>
    <row r="51" spans="1:17" s="55" customFormat="1" ht="20.25" customHeight="1" x14ac:dyDescent="0.2">
      <c r="A51" s="54"/>
      <c r="B51" s="54"/>
      <c r="C51" s="58" t="s">
        <v>198</v>
      </c>
      <c r="D51" s="58"/>
      <c r="E51" s="58"/>
      <c r="F51" s="58"/>
      <c r="G51" s="193">
        <v>2381.4</v>
      </c>
      <c r="H51" s="193">
        <v>300</v>
      </c>
      <c r="I51" s="193">
        <v>2681.4</v>
      </c>
      <c r="J51" s="193"/>
      <c r="K51" s="230">
        <v>20850</v>
      </c>
      <c r="L51" s="409">
        <v>-18168.599999999999</v>
      </c>
      <c r="M51" s="354">
        <v>-0.87139568345323737</v>
      </c>
    </row>
    <row r="52" spans="1:17" s="55" customFormat="1" ht="20.25" x14ac:dyDescent="0.2">
      <c r="A52" s="58"/>
      <c r="B52" s="58"/>
      <c r="C52" s="58" t="s">
        <v>125</v>
      </c>
      <c r="D52" s="58"/>
      <c r="E52" s="58"/>
      <c r="F52" s="58"/>
      <c r="G52" s="193">
        <v>23932</v>
      </c>
      <c r="H52" s="193">
        <v>4454</v>
      </c>
      <c r="I52" s="193">
        <v>28386</v>
      </c>
      <c r="J52" s="193"/>
      <c r="K52" s="230">
        <v>12937</v>
      </c>
      <c r="L52" s="409">
        <v>15449</v>
      </c>
      <c r="M52" s="354">
        <v>1.1941717554301616</v>
      </c>
    </row>
    <row r="53" spans="1:17" s="55" customFormat="1" ht="20.25" x14ac:dyDescent="0.2">
      <c r="A53" s="54"/>
      <c r="B53" s="54"/>
      <c r="C53" s="58" t="s">
        <v>164</v>
      </c>
      <c r="D53" s="58"/>
      <c r="E53" s="58"/>
      <c r="F53" s="58"/>
      <c r="G53" s="193">
        <v>31384.95</v>
      </c>
      <c r="H53" s="193">
        <v>23455</v>
      </c>
      <c r="I53" s="193">
        <v>54839.95</v>
      </c>
      <c r="J53" s="193"/>
      <c r="K53" s="230">
        <v>60011</v>
      </c>
      <c r="L53" s="409">
        <v>-5171.0500000000029</v>
      </c>
      <c r="M53" s="354">
        <v>-8.6168369132325784E-2</v>
      </c>
      <c r="Q53" s="285"/>
    </row>
    <row r="54" spans="1:17" s="55" customFormat="1" ht="20.25" x14ac:dyDescent="0.2">
      <c r="A54" s="54"/>
      <c r="B54" s="54"/>
      <c r="C54" s="58" t="s">
        <v>126</v>
      </c>
      <c r="D54" s="58"/>
      <c r="E54" s="58"/>
      <c r="F54" s="58"/>
      <c r="G54" s="193">
        <v>31753.16</v>
      </c>
      <c r="H54" s="193">
        <v>14675</v>
      </c>
      <c r="I54" s="193">
        <v>46428.160000000003</v>
      </c>
      <c r="J54" s="193"/>
      <c r="K54" s="230">
        <v>61119</v>
      </c>
      <c r="L54" s="409">
        <v>-14690.839999999997</v>
      </c>
      <c r="M54" s="354">
        <v>-0.2403645347600582</v>
      </c>
    </row>
    <row r="55" spans="1:17" s="55" customFormat="1" ht="21" thickBot="1" x14ac:dyDescent="0.25">
      <c r="A55" s="54"/>
      <c r="B55" s="54"/>
      <c r="C55" s="58" t="s">
        <v>401</v>
      </c>
      <c r="D55" s="58"/>
      <c r="E55" s="58"/>
      <c r="F55" s="58"/>
      <c r="G55" s="200">
        <v>297</v>
      </c>
      <c r="H55" s="195">
        <v>990</v>
      </c>
      <c r="I55" s="195">
        <v>1287</v>
      </c>
      <c r="J55" s="195"/>
      <c r="K55" s="601">
        <v>0</v>
      </c>
      <c r="L55" s="412">
        <v>1287</v>
      </c>
      <c r="M55" s="411"/>
    </row>
    <row r="56" spans="1:17" s="55" customFormat="1" ht="20.25" x14ac:dyDescent="0.2">
      <c r="A56" s="58"/>
      <c r="B56" s="58"/>
      <c r="C56" s="54"/>
      <c r="D56" s="54"/>
      <c r="G56" s="193">
        <v>721478.3899999999</v>
      </c>
      <c r="H56" s="193">
        <v>641911.43333333335</v>
      </c>
      <c r="I56" s="193">
        <v>1363389.8233333332</v>
      </c>
      <c r="J56" s="193"/>
      <c r="K56" s="193">
        <v>1663587</v>
      </c>
      <c r="L56" s="193">
        <v>-300197.17666666652</v>
      </c>
      <c r="M56" s="599">
        <v>-0.18045174473391926</v>
      </c>
    </row>
    <row r="57" spans="1:17" s="55" customFormat="1" ht="8.25" customHeight="1" x14ac:dyDescent="0.2">
      <c r="A57" s="58"/>
      <c r="B57" s="58"/>
      <c r="C57" s="54"/>
      <c r="D57" s="54"/>
      <c r="G57" s="193"/>
      <c r="H57" s="193"/>
      <c r="I57" s="193"/>
      <c r="J57" s="193"/>
      <c r="K57" s="193"/>
    </row>
    <row r="58" spans="1:17" s="55" customFormat="1" ht="20.25" x14ac:dyDescent="0.2">
      <c r="A58" s="58"/>
      <c r="B58" s="58"/>
      <c r="C58" s="602" t="s">
        <v>415</v>
      </c>
      <c r="D58"/>
      <c r="E58" s="54"/>
      <c r="F58" s="54"/>
      <c r="G58" s="201">
        <v>1122.9000000000233</v>
      </c>
      <c r="H58" s="201">
        <v>-1652.6560033332789</v>
      </c>
      <c r="I58" s="201">
        <v>-529.75600333325565</v>
      </c>
      <c r="J58" s="193"/>
      <c r="K58" s="201">
        <v>5738</v>
      </c>
      <c r="L58" s="603">
        <v>-6267.7560033332556</v>
      </c>
      <c r="M58" s="599">
        <v>-1.0923241553386642</v>
      </c>
    </row>
    <row r="59" spans="1:17" s="55" customFormat="1" ht="9" customHeight="1" x14ac:dyDescent="0.2">
      <c r="A59" s="58"/>
      <c r="B59" s="58"/>
      <c r="C59" s="58"/>
      <c r="D59" s="58"/>
      <c r="E59" s="58"/>
      <c r="F59" s="58"/>
      <c r="G59" s="193"/>
      <c r="H59" s="193"/>
      <c r="I59" s="193"/>
      <c r="J59" s="193"/>
      <c r="K59" s="193"/>
    </row>
    <row r="60" spans="1:17" s="55" customFormat="1" ht="20.25" x14ac:dyDescent="0.2">
      <c r="A60" s="58"/>
      <c r="B60" s="58"/>
      <c r="C60" s="58" t="s">
        <v>124</v>
      </c>
      <c r="D60" s="58"/>
      <c r="F60" s="58"/>
      <c r="G60" s="193">
        <v>19500</v>
      </c>
      <c r="H60" s="193">
        <v>19720</v>
      </c>
      <c r="I60" s="193">
        <v>39220</v>
      </c>
      <c r="J60" s="193"/>
      <c r="K60" s="193">
        <v>39797</v>
      </c>
    </row>
    <row r="61" spans="1:17" s="55" customFormat="1" ht="9" customHeight="1" x14ac:dyDescent="0.2">
      <c r="A61" s="58"/>
      <c r="B61" s="58"/>
      <c r="C61" s="58"/>
      <c r="D61" s="58"/>
      <c r="E61" s="58"/>
      <c r="F61" s="58"/>
      <c r="G61" s="193"/>
      <c r="H61" s="193"/>
      <c r="I61" s="193"/>
      <c r="J61" s="193"/>
      <c r="K61" s="193"/>
    </row>
    <row r="62" spans="1:17" s="55" customFormat="1" ht="21" thickBot="1" x14ac:dyDescent="0.25">
      <c r="A62" s="54"/>
      <c r="B62" s="54"/>
      <c r="C62" s="602" t="s">
        <v>416</v>
      </c>
      <c r="D62"/>
      <c r="E62"/>
      <c r="F62"/>
      <c r="G62" s="604">
        <v>-18377.099999999977</v>
      </c>
      <c r="H62" s="604">
        <v>-21372.656003333279</v>
      </c>
      <c r="I62" s="604">
        <v>-39749.756003333256</v>
      </c>
      <c r="J62" s="196"/>
      <c r="K62" s="604">
        <v>-34059</v>
      </c>
    </row>
    <row r="63" spans="1:17" s="55" customFormat="1" ht="21" thickTop="1" x14ac:dyDescent="0.2">
      <c r="A63" s="54"/>
      <c r="B63" s="54"/>
      <c r="C63" s="54"/>
      <c r="D63" s="54"/>
      <c r="E63" s="54"/>
      <c r="F63" s="54"/>
      <c r="G63" s="196"/>
      <c r="H63" s="196"/>
      <c r="I63" s="196"/>
      <c r="J63" s="196"/>
      <c r="K63" s="196"/>
    </row>
    <row r="64" spans="1:17" s="55" customFormat="1" ht="23.25" x14ac:dyDescent="0.2">
      <c r="A64" s="54"/>
      <c r="B64" s="222"/>
      <c r="C64" s="54"/>
      <c r="D64" s="54"/>
      <c r="E64" s="54"/>
      <c r="F64" s="54" t="s">
        <v>417</v>
      </c>
      <c r="G64" s="193"/>
      <c r="H64" s="193"/>
      <c r="I64" s="193"/>
      <c r="J64" s="193"/>
      <c r="K64" s="193"/>
    </row>
    <row r="65" spans="1:11" s="55" customFormat="1" ht="20.25" x14ac:dyDescent="0.2">
      <c r="A65" s="58"/>
      <c r="B65" s="58"/>
      <c r="D65" s="58"/>
      <c r="E65" s="58"/>
      <c r="F65" s="606" t="s">
        <v>418</v>
      </c>
      <c r="G65" s="193"/>
      <c r="H65" s="193"/>
      <c r="I65" s="193"/>
      <c r="J65" s="193"/>
      <c r="K65" s="193"/>
    </row>
    <row r="66" spans="1:11" s="55" customFormat="1" ht="20.25" x14ac:dyDescent="0.2">
      <c r="A66" s="58"/>
      <c r="B66" s="58"/>
      <c r="D66" s="58"/>
      <c r="E66" s="58"/>
      <c r="F66" s="606" t="s">
        <v>423</v>
      </c>
      <c r="G66" s="193"/>
      <c r="H66" s="193"/>
      <c r="I66" s="193"/>
      <c r="J66" s="193"/>
      <c r="K66" s="193"/>
    </row>
    <row r="67" spans="1:11" s="55" customFormat="1" ht="20.25" x14ac:dyDescent="0.2">
      <c r="A67" s="54"/>
      <c r="B67" s="54"/>
      <c r="D67" s="58"/>
      <c r="E67" s="54"/>
      <c r="F67" s="606" t="s">
        <v>419</v>
      </c>
      <c r="G67" s="193"/>
      <c r="H67" s="193"/>
      <c r="I67" s="193"/>
      <c r="J67" s="193"/>
      <c r="K67" s="193"/>
    </row>
    <row r="68" spans="1:11" s="55" customFormat="1" ht="23.25" x14ac:dyDescent="0.2">
      <c r="A68" s="54"/>
      <c r="B68" s="222"/>
      <c r="C68" s="54"/>
      <c r="D68" s="54"/>
      <c r="E68" s="54"/>
      <c r="F68" s="606" t="s">
        <v>420</v>
      </c>
      <c r="G68" s="196"/>
      <c r="H68" s="196"/>
      <c r="I68" s="196"/>
      <c r="J68" s="196"/>
      <c r="K68" s="196"/>
    </row>
    <row r="69" spans="1:11" s="55" customFormat="1" ht="20.25" x14ac:dyDescent="0.2">
      <c r="A69" s="54"/>
      <c r="B69" s="54"/>
      <c r="C69" s="54"/>
      <c r="D69" s="54"/>
      <c r="E69" s="54"/>
      <c r="F69" s="606" t="s">
        <v>421</v>
      </c>
      <c r="G69" s="193"/>
      <c r="H69" s="193"/>
      <c r="I69" s="193"/>
      <c r="J69" s="193"/>
      <c r="K69" s="193"/>
    </row>
    <row r="70" spans="1:11" s="62" customFormat="1" ht="26.25" x14ac:dyDescent="0.2">
      <c r="A70" s="219"/>
      <c r="B70" s="219"/>
      <c r="C70" s="219"/>
      <c r="D70" s="219"/>
      <c r="E70" s="219"/>
      <c r="F70" s="606" t="s">
        <v>422</v>
      </c>
      <c r="G70" s="196"/>
      <c r="H70" s="196"/>
      <c r="I70" s="196"/>
      <c r="J70" s="196"/>
      <c r="K70" s="196"/>
    </row>
    <row r="71" spans="1:11" ht="20.25" x14ac:dyDescent="0.3">
      <c r="F71" s="607"/>
      <c r="G71" s="227"/>
      <c r="H71" s="227"/>
      <c r="I71" s="227"/>
      <c r="J71" s="227"/>
      <c r="K71" s="227"/>
    </row>
    <row r="72" spans="1:11" ht="20.25" x14ac:dyDescent="0.3">
      <c r="F72" s="607"/>
      <c r="G72" s="227"/>
      <c r="H72" s="227"/>
      <c r="I72" s="227"/>
      <c r="J72" s="227"/>
      <c r="K72" s="227"/>
    </row>
    <row r="73" spans="1:11" ht="20.25" x14ac:dyDescent="0.3">
      <c r="F73" s="607"/>
      <c r="G73" s="605"/>
      <c r="H73" s="227"/>
      <c r="I73" s="227"/>
      <c r="J73" s="227"/>
      <c r="K73" s="227"/>
    </row>
    <row r="74" spans="1:11" ht="20.25" x14ac:dyDescent="0.3">
      <c r="F74" s="607"/>
      <c r="G74" s="224"/>
      <c r="H74" s="224"/>
      <c r="I74" s="224"/>
      <c r="J74" s="224"/>
      <c r="K74" s="224"/>
    </row>
    <row r="75" spans="1:11" ht="18" x14ac:dyDescent="0.25">
      <c r="F75" s="607"/>
    </row>
    <row r="76" spans="1:11" ht="18" x14ac:dyDescent="0.25">
      <c r="F76" s="607"/>
    </row>
    <row r="77" spans="1:11" ht="18" x14ac:dyDescent="0.25">
      <c r="F77" s="607"/>
    </row>
    <row r="78" spans="1:11" ht="18" x14ac:dyDescent="0.25">
      <c r="F78" s="607"/>
    </row>
    <row r="79" spans="1:11" ht="18" x14ac:dyDescent="0.25">
      <c r="F79" s="607"/>
    </row>
    <row r="80" spans="1:11" ht="18" x14ac:dyDescent="0.25">
      <c r="F80" s="607"/>
    </row>
    <row r="81" spans="6:6" ht="18" x14ac:dyDescent="0.25">
      <c r="F81" s="607"/>
    </row>
    <row r="82" spans="6:6" ht="18" x14ac:dyDescent="0.25">
      <c r="F82" s="607"/>
    </row>
    <row r="83" spans="6:6" ht="18" x14ac:dyDescent="0.25">
      <c r="F83" s="88"/>
    </row>
    <row r="84" spans="6:6" ht="18" x14ac:dyDescent="0.25">
      <c r="F84" s="88"/>
    </row>
  </sheetData>
  <mergeCells count="3">
    <mergeCell ref="G5:K5"/>
    <mergeCell ref="L7:M7"/>
    <mergeCell ref="C46:F46"/>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S100"/>
  <sheetViews>
    <sheetView zoomScale="85" zoomScaleNormal="85" workbookViewId="0"/>
  </sheetViews>
  <sheetFormatPr defaultRowHeight="14.25" x14ac:dyDescent="0.2"/>
  <cols>
    <col min="1" max="1" width="50" customWidth="1"/>
    <col min="2" max="2" width="26" customWidth="1"/>
    <col min="3" max="3" width="17.25" style="3" customWidth="1"/>
    <col min="4" max="4" width="13.625" style="3" customWidth="1"/>
    <col min="5" max="5" width="12.75" style="3" customWidth="1"/>
    <col min="6" max="6" width="19.75" style="21" customWidth="1"/>
    <col min="7" max="7" width="18.25" style="21" customWidth="1"/>
    <col min="8" max="9" width="18.125" style="21" customWidth="1"/>
    <col min="10" max="10" width="17.75" style="21" customWidth="1"/>
    <col min="11" max="11" width="18" style="21" customWidth="1"/>
    <col min="12" max="13" width="20.625" style="21" customWidth="1"/>
    <col min="14" max="14" width="20.25" style="21" customWidth="1"/>
    <col min="15" max="15" width="16.25" style="21" customWidth="1"/>
    <col min="16" max="27" width="9" style="21"/>
    <col min="28" max="38" width="9" style="7"/>
  </cols>
  <sheetData>
    <row r="1" spans="1:669" s="10" customFormat="1" ht="18" x14ac:dyDescent="0.25">
      <c r="A1" s="8" t="s">
        <v>0</v>
      </c>
      <c r="B1" s="8"/>
      <c r="C1" s="9"/>
      <c r="D1" s="9"/>
      <c r="E1" s="9"/>
      <c r="F1" s="20"/>
      <c r="G1" s="20"/>
      <c r="H1" s="20"/>
      <c r="I1" s="20"/>
      <c r="J1" s="20"/>
      <c r="L1" s="20"/>
      <c r="M1" s="20"/>
      <c r="N1" s="20"/>
      <c r="O1" s="20"/>
      <c r="P1" s="20"/>
      <c r="Q1" s="20"/>
      <c r="R1" s="20"/>
      <c r="S1" s="20"/>
      <c r="T1" s="20"/>
      <c r="U1" s="20"/>
      <c r="V1" s="20"/>
      <c r="W1" s="20"/>
      <c r="X1" s="20"/>
      <c r="Y1" s="20"/>
      <c r="Z1" s="20"/>
      <c r="AA1" s="20"/>
      <c r="AB1" s="22"/>
      <c r="AC1" s="22"/>
      <c r="AD1" s="22"/>
      <c r="AE1" s="22"/>
      <c r="AF1" s="22"/>
      <c r="AG1" s="22"/>
      <c r="AH1" s="22"/>
      <c r="AI1" s="22"/>
      <c r="AJ1" s="22"/>
      <c r="AK1" s="22"/>
      <c r="AL1" s="22"/>
    </row>
    <row r="2" spans="1:669" s="10" customFormat="1" ht="18" x14ac:dyDescent="0.25">
      <c r="A2" s="11" t="s">
        <v>30</v>
      </c>
      <c r="B2" s="11"/>
      <c r="C2" s="9"/>
      <c r="D2" s="9"/>
      <c r="E2" s="9"/>
      <c r="F2" s="20"/>
      <c r="G2" s="20"/>
      <c r="H2" s="20"/>
      <c r="I2" s="20"/>
      <c r="J2" s="20"/>
      <c r="L2" s="20"/>
      <c r="M2" s="20"/>
      <c r="N2" s="20"/>
      <c r="O2" s="20"/>
      <c r="P2" s="20"/>
      <c r="Q2" s="20"/>
      <c r="R2" s="20"/>
      <c r="S2" s="20"/>
      <c r="T2" s="20"/>
      <c r="U2" s="20"/>
      <c r="V2" s="20"/>
      <c r="W2" s="20"/>
      <c r="X2" s="20"/>
      <c r="Y2" s="20"/>
      <c r="Z2" s="20"/>
      <c r="AA2" s="20"/>
      <c r="AB2" s="22"/>
      <c r="AC2" s="22"/>
      <c r="AD2" s="22"/>
      <c r="AE2" s="22"/>
      <c r="AF2" s="22"/>
      <c r="AG2" s="22"/>
      <c r="AH2" s="22"/>
      <c r="AI2" s="22"/>
      <c r="AJ2" s="22"/>
      <c r="AK2" s="22"/>
      <c r="AL2" s="22"/>
    </row>
    <row r="3" spans="1:669" s="10" customFormat="1" ht="18" x14ac:dyDescent="0.25">
      <c r="A3" s="11" t="s">
        <v>672</v>
      </c>
      <c r="B3" s="11"/>
      <c r="C3" s="9"/>
      <c r="D3" s="9"/>
      <c r="E3" s="9"/>
      <c r="F3" s="20"/>
      <c r="G3" s="20"/>
      <c r="H3" s="20"/>
      <c r="I3" s="20"/>
      <c r="J3" s="20"/>
      <c r="L3" s="20"/>
      <c r="M3" s="20"/>
      <c r="N3" s="20"/>
      <c r="O3" s="20"/>
      <c r="P3" s="20"/>
      <c r="Q3" s="20"/>
      <c r="R3" s="20"/>
      <c r="S3" s="20"/>
      <c r="T3" s="20"/>
      <c r="U3" s="20"/>
      <c r="V3" s="20"/>
      <c r="W3" s="20"/>
      <c r="X3" s="20"/>
      <c r="Y3" s="20"/>
      <c r="Z3" s="20"/>
      <c r="AA3" s="20"/>
      <c r="AB3" s="22"/>
      <c r="AC3" s="22"/>
      <c r="AD3" s="22"/>
      <c r="AE3" s="22"/>
      <c r="AF3" s="22"/>
      <c r="AG3" s="22"/>
      <c r="AH3" s="22"/>
      <c r="AI3" s="22"/>
      <c r="AJ3" s="22"/>
      <c r="AK3" s="22"/>
      <c r="AL3" s="22"/>
    </row>
    <row r="4" spans="1:669" s="10" customFormat="1" ht="13.5" customHeight="1" thickBot="1" x14ac:dyDescent="0.3">
      <c r="A4" s="11"/>
      <c r="B4" s="11"/>
      <c r="C4" s="9"/>
      <c r="D4" s="9"/>
      <c r="E4" s="9"/>
      <c r="F4" s="20"/>
      <c r="G4" s="20"/>
      <c r="H4" s="20"/>
      <c r="I4" s="20"/>
      <c r="J4" s="20"/>
      <c r="L4" s="20"/>
      <c r="M4" s="20"/>
      <c r="N4" s="20"/>
      <c r="O4" s="20"/>
      <c r="P4" s="20"/>
      <c r="Q4" s="20"/>
      <c r="R4" s="20"/>
      <c r="S4" s="20"/>
      <c r="T4" s="20"/>
      <c r="U4" s="20"/>
      <c r="V4" s="20"/>
      <c r="W4" s="20"/>
      <c r="X4" s="20"/>
      <c r="Y4" s="20"/>
      <c r="Z4" s="20"/>
      <c r="AA4" s="20"/>
      <c r="AB4" s="22"/>
      <c r="AC4" s="22"/>
      <c r="AD4" s="22"/>
      <c r="AE4" s="22"/>
      <c r="AF4" s="22"/>
      <c r="AG4" s="22"/>
      <c r="AH4" s="22"/>
      <c r="AI4" s="22"/>
      <c r="AJ4" s="22"/>
      <c r="AK4" s="22"/>
      <c r="AL4" s="22"/>
    </row>
    <row r="5" spans="1:669" s="18" customFormat="1" ht="16.5" thickBot="1" x14ac:dyDescent="0.25">
      <c r="A5" s="209" t="s">
        <v>157</v>
      </c>
      <c r="B5" s="210"/>
      <c r="C5" s="210"/>
      <c r="D5" s="210"/>
      <c r="E5" s="210"/>
      <c r="F5" s="210"/>
      <c r="G5" s="210"/>
      <c r="H5" s="210"/>
      <c r="I5" s="210"/>
      <c r="J5" s="210"/>
      <c r="K5" s="211"/>
      <c r="L5" s="23"/>
      <c r="M5" s="23"/>
      <c r="N5" s="23"/>
      <c r="O5" s="23"/>
      <c r="P5" s="23"/>
      <c r="Q5" s="23"/>
      <c r="R5" s="23"/>
      <c r="S5" s="23"/>
      <c r="T5" s="23"/>
      <c r="U5" s="23"/>
      <c r="V5" s="23"/>
      <c r="W5" s="23"/>
      <c r="X5" s="23"/>
      <c r="Y5" s="23"/>
      <c r="Z5" s="23"/>
      <c r="AA5" s="23"/>
      <c r="AB5" s="24"/>
      <c r="AC5" s="24"/>
      <c r="AD5" s="24"/>
      <c r="AE5" s="24"/>
      <c r="AF5" s="24"/>
      <c r="AG5" s="24"/>
      <c r="AH5" s="24"/>
      <c r="AI5" s="24"/>
      <c r="AJ5" s="24"/>
      <c r="AK5" s="24"/>
      <c r="AL5" s="24"/>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c r="GU5" s="25"/>
      <c r="GV5" s="25"/>
      <c r="GW5" s="25"/>
      <c r="GX5" s="25"/>
      <c r="GY5" s="25"/>
      <c r="GZ5" s="25"/>
      <c r="HA5" s="25"/>
      <c r="HB5" s="25"/>
      <c r="HC5" s="25"/>
      <c r="HD5" s="25"/>
      <c r="HE5" s="25"/>
      <c r="HF5" s="25"/>
      <c r="HG5" s="25"/>
      <c r="HH5" s="25"/>
      <c r="HI5" s="25"/>
      <c r="HJ5" s="25"/>
      <c r="HK5" s="25"/>
      <c r="HL5" s="25"/>
      <c r="HM5" s="25"/>
      <c r="HN5" s="25"/>
      <c r="HO5" s="25"/>
      <c r="HP5" s="25"/>
      <c r="HQ5" s="25"/>
      <c r="HR5" s="25"/>
      <c r="HS5" s="25"/>
      <c r="HT5" s="25"/>
      <c r="HU5" s="25"/>
      <c r="HV5" s="25"/>
      <c r="HW5" s="25"/>
      <c r="HX5" s="25"/>
      <c r="HY5" s="25"/>
      <c r="HZ5" s="25"/>
      <c r="IA5" s="25"/>
      <c r="IB5" s="25"/>
      <c r="IC5" s="25"/>
      <c r="ID5" s="25"/>
      <c r="IE5" s="25"/>
      <c r="IF5" s="25"/>
      <c r="IG5" s="25"/>
      <c r="IH5" s="25"/>
      <c r="II5" s="25"/>
      <c r="IJ5" s="25"/>
      <c r="IK5" s="25"/>
      <c r="IL5" s="25"/>
      <c r="IM5" s="25"/>
      <c r="IN5" s="25"/>
      <c r="IO5" s="25"/>
      <c r="IP5" s="25"/>
      <c r="IQ5" s="25"/>
      <c r="IR5" s="25"/>
      <c r="IS5" s="25"/>
      <c r="IT5" s="25"/>
      <c r="IU5" s="25"/>
      <c r="IV5" s="25"/>
      <c r="IW5" s="25"/>
      <c r="IX5" s="25"/>
      <c r="IY5" s="25"/>
      <c r="IZ5" s="25"/>
      <c r="JA5" s="25"/>
      <c r="JB5" s="25"/>
      <c r="JC5" s="25"/>
      <c r="JD5" s="25"/>
      <c r="JE5" s="25"/>
      <c r="JF5" s="25"/>
      <c r="JG5" s="25"/>
      <c r="JH5" s="25"/>
      <c r="JI5" s="25"/>
      <c r="JJ5" s="25"/>
      <c r="JK5" s="25"/>
      <c r="JL5" s="25"/>
      <c r="JM5" s="25"/>
      <c r="JN5" s="25"/>
      <c r="JO5" s="25"/>
      <c r="JP5" s="25"/>
      <c r="JQ5" s="25"/>
      <c r="JR5" s="25"/>
      <c r="JS5" s="25"/>
      <c r="JT5" s="25"/>
      <c r="JU5" s="25"/>
      <c r="JV5" s="25"/>
      <c r="JW5" s="25"/>
      <c r="JX5" s="25"/>
      <c r="JY5" s="25"/>
      <c r="JZ5" s="25"/>
      <c r="KA5" s="25"/>
      <c r="KB5" s="25"/>
      <c r="KC5" s="25"/>
      <c r="KD5" s="25"/>
      <c r="KE5" s="25"/>
      <c r="KF5" s="25"/>
      <c r="KG5" s="25"/>
      <c r="KH5" s="25"/>
      <c r="KI5" s="25"/>
      <c r="KJ5" s="25"/>
      <c r="KK5" s="25"/>
      <c r="KL5" s="25"/>
      <c r="KM5" s="25"/>
      <c r="KN5" s="25"/>
      <c r="KO5" s="25"/>
      <c r="KP5" s="25"/>
      <c r="KQ5" s="25"/>
      <c r="KR5" s="25"/>
      <c r="KS5" s="25"/>
      <c r="KT5" s="25"/>
      <c r="KU5" s="25"/>
      <c r="KV5" s="25"/>
      <c r="KW5" s="25"/>
      <c r="KX5" s="25"/>
      <c r="KY5" s="25"/>
      <c r="KZ5" s="25"/>
      <c r="LA5" s="25"/>
      <c r="LB5" s="25"/>
      <c r="LC5" s="25"/>
      <c r="LD5" s="25"/>
      <c r="LE5" s="25"/>
      <c r="LF5" s="25"/>
      <c r="LG5" s="25"/>
      <c r="LH5" s="25"/>
      <c r="LI5" s="25"/>
      <c r="LJ5" s="25"/>
      <c r="LK5" s="25"/>
      <c r="LL5" s="25"/>
      <c r="LM5" s="25"/>
      <c r="LN5" s="25"/>
      <c r="LO5" s="25"/>
      <c r="LP5" s="25"/>
      <c r="LQ5" s="25"/>
      <c r="LR5" s="25"/>
      <c r="LS5" s="25"/>
      <c r="LT5" s="25"/>
      <c r="LU5" s="25"/>
      <c r="LV5" s="25"/>
      <c r="LW5" s="25"/>
      <c r="LX5" s="25"/>
      <c r="LY5" s="25"/>
      <c r="LZ5" s="25"/>
      <c r="MA5" s="25"/>
      <c r="MB5" s="25"/>
      <c r="MC5" s="25"/>
      <c r="MD5" s="25"/>
      <c r="ME5" s="25"/>
      <c r="MF5" s="25"/>
      <c r="MG5" s="25"/>
      <c r="MH5" s="25"/>
      <c r="MI5" s="25"/>
      <c r="MJ5" s="25"/>
      <c r="MK5" s="25"/>
      <c r="ML5" s="25"/>
      <c r="MM5" s="25"/>
      <c r="MN5" s="25"/>
      <c r="MO5" s="25"/>
      <c r="MP5" s="25"/>
      <c r="MQ5" s="25"/>
      <c r="MR5" s="25"/>
      <c r="MS5" s="25"/>
      <c r="MT5" s="25"/>
      <c r="MU5" s="25"/>
      <c r="MV5" s="25"/>
      <c r="MW5" s="25"/>
      <c r="MX5" s="25"/>
      <c r="MY5" s="25"/>
      <c r="MZ5" s="25"/>
      <c r="NA5" s="25"/>
      <c r="NB5" s="25"/>
      <c r="NC5" s="25"/>
      <c r="ND5" s="25"/>
      <c r="NE5" s="25"/>
      <c r="NF5" s="25"/>
      <c r="NG5" s="25"/>
      <c r="NH5" s="25"/>
      <c r="NI5" s="25"/>
      <c r="NJ5" s="25"/>
      <c r="NK5" s="25"/>
      <c r="NL5" s="25"/>
      <c r="NM5" s="25"/>
      <c r="NN5" s="25"/>
      <c r="NO5" s="25"/>
      <c r="NP5" s="25"/>
      <c r="NQ5" s="25"/>
      <c r="NR5" s="25"/>
      <c r="NS5" s="25"/>
      <c r="NT5" s="25"/>
      <c r="NU5" s="25"/>
      <c r="NV5" s="25"/>
      <c r="NW5" s="25"/>
      <c r="NX5" s="25"/>
      <c r="NY5" s="25"/>
      <c r="NZ5" s="25"/>
      <c r="OA5" s="25"/>
      <c r="OB5" s="25"/>
      <c r="OC5" s="25"/>
      <c r="OD5" s="25"/>
      <c r="OE5" s="25"/>
      <c r="OF5" s="25"/>
      <c r="OG5" s="25"/>
      <c r="OH5" s="25"/>
      <c r="OI5" s="25"/>
      <c r="OJ5" s="25"/>
      <c r="OK5" s="25"/>
      <c r="OL5" s="25"/>
      <c r="OM5" s="25"/>
      <c r="ON5" s="25"/>
      <c r="OO5" s="25"/>
      <c r="OP5" s="25"/>
      <c r="OQ5" s="25"/>
      <c r="OR5" s="25"/>
      <c r="OS5" s="25"/>
      <c r="OT5" s="25"/>
      <c r="OU5" s="25"/>
      <c r="OV5" s="25"/>
      <c r="OW5" s="25"/>
      <c r="OX5" s="25"/>
      <c r="OY5" s="25"/>
      <c r="OZ5" s="25"/>
      <c r="PA5" s="25"/>
      <c r="PB5" s="25"/>
      <c r="PC5" s="25"/>
      <c r="PD5" s="25"/>
      <c r="PE5" s="25"/>
      <c r="PF5" s="25"/>
      <c r="PG5" s="25"/>
      <c r="PH5" s="25"/>
      <c r="PI5" s="25"/>
      <c r="PJ5" s="25"/>
      <c r="PK5" s="25"/>
      <c r="PL5" s="25"/>
      <c r="PM5" s="25"/>
      <c r="PN5" s="25"/>
      <c r="PO5" s="25"/>
      <c r="PP5" s="25"/>
      <c r="PQ5" s="25"/>
      <c r="PR5" s="25"/>
      <c r="PS5" s="25"/>
      <c r="PT5" s="25"/>
      <c r="PU5" s="25"/>
      <c r="PV5" s="25"/>
      <c r="PW5" s="25"/>
      <c r="PX5" s="25"/>
      <c r="PY5" s="25"/>
      <c r="PZ5" s="25"/>
      <c r="QA5" s="25"/>
      <c r="QB5" s="25"/>
      <c r="QC5" s="25"/>
      <c r="QD5" s="25"/>
      <c r="QE5" s="25"/>
      <c r="QF5" s="25"/>
      <c r="QG5" s="25"/>
      <c r="QH5" s="25"/>
      <c r="QI5" s="25"/>
      <c r="QJ5" s="25"/>
      <c r="QK5" s="25"/>
      <c r="QL5" s="25"/>
      <c r="QM5" s="25"/>
      <c r="QN5" s="25"/>
      <c r="QO5" s="25"/>
      <c r="QP5" s="25"/>
      <c r="QQ5" s="25"/>
      <c r="QR5" s="25"/>
      <c r="QS5" s="25"/>
      <c r="QT5" s="25"/>
      <c r="QU5" s="25"/>
      <c r="QV5" s="25"/>
      <c r="QW5" s="25"/>
      <c r="QX5" s="25"/>
      <c r="QY5" s="25"/>
      <c r="QZ5" s="25"/>
      <c r="RA5" s="25"/>
      <c r="RB5" s="25"/>
      <c r="RC5" s="25"/>
      <c r="RD5" s="25"/>
      <c r="RE5" s="25"/>
      <c r="RF5" s="25"/>
      <c r="RG5" s="25"/>
      <c r="RH5" s="25"/>
      <c r="RI5" s="25"/>
      <c r="RJ5" s="25"/>
      <c r="RK5" s="25"/>
      <c r="RL5" s="25"/>
      <c r="RM5" s="25"/>
      <c r="RN5" s="25"/>
      <c r="RO5" s="25"/>
      <c r="RP5" s="25"/>
      <c r="RQ5" s="25"/>
      <c r="RR5" s="25"/>
      <c r="RS5" s="25"/>
      <c r="RT5" s="25"/>
      <c r="RU5" s="25"/>
      <c r="RV5" s="25"/>
      <c r="RW5" s="25"/>
      <c r="RX5" s="25"/>
      <c r="RY5" s="25"/>
      <c r="RZ5" s="25"/>
      <c r="SA5" s="25"/>
      <c r="SB5" s="25"/>
      <c r="SC5" s="25"/>
      <c r="SD5" s="25"/>
      <c r="SE5" s="25"/>
      <c r="SF5" s="25"/>
      <c r="SG5" s="25"/>
      <c r="SH5" s="25"/>
      <c r="SI5" s="25"/>
      <c r="SJ5" s="25"/>
      <c r="SK5" s="25"/>
      <c r="SL5" s="25"/>
      <c r="SM5" s="25"/>
      <c r="SN5" s="25"/>
      <c r="SO5" s="25"/>
      <c r="SP5" s="25"/>
      <c r="SQ5" s="25"/>
      <c r="SR5" s="25"/>
      <c r="SS5" s="25"/>
      <c r="ST5" s="25"/>
      <c r="SU5" s="25"/>
      <c r="SV5" s="25"/>
      <c r="SW5" s="25"/>
      <c r="SX5" s="25"/>
      <c r="SY5" s="25"/>
      <c r="SZ5" s="25"/>
      <c r="TA5" s="25"/>
      <c r="TB5" s="25"/>
      <c r="TC5" s="25"/>
      <c r="TD5" s="25"/>
      <c r="TE5" s="25"/>
      <c r="TF5" s="25"/>
      <c r="TG5" s="25"/>
      <c r="TH5" s="25"/>
      <c r="TI5" s="25"/>
      <c r="TJ5" s="25"/>
      <c r="TK5" s="25"/>
      <c r="TL5" s="25"/>
      <c r="TM5" s="25"/>
      <c r="TN5" s="25"/>
      <c r="TO5" s="25"/>
      <c r="TP5" s="25"/>
      <c r="TQ5" s="25"/>
      <c r="TR5" s="25"/>
      <c r="TS5" s="25"/>
      <c r="TT5" s="25"/>
      <c r="TU5" s="25"/>
      <c r="TV5" s="25"/>
      <c r="TW5" s="25"/>
      <c r="TX5" s="25"/>
      <c r="TY5" s="25"/>
      <c r="TZ5" s="25"/>
      <c r="UA5" s="25"/>
      <c r="UB5" s="25"/>
      <c r="UC5" s="25"/>
      <c r="UD5" s="25"/>
      <c r="UE5" s="25"/>
      <c r="UF5" s="25"/>
      <c r="UG5" s="25"/>
      <c r="UH5" s="25"/>
      <c r="UI5" s="25"/>
      <c r="UJ5" s="25"/>
      <c r="UK5" s="25"/>
      <c r="UL5" s="25"/>
      <c r="UM5" s="25"/>
      <c r="UN5" s="25"/>
      <c r="UO5" s="25"/>
      <c r="UP5" s="25"/>
      <c r="UQ5" s="25"/>
      <c r="UR5" s="25"/>
      <c r="US5" s="25"/>
      <c r="UT5" s="25"/>
      <c r="UU5" s="25"/>
      <c r="UV5" s="25"/>
      <c r="UW5" s="25"/>
      <c r="UX5" s="25"/>
      <c r="UY5" s="25"/>
      <c r="UZ5" s="25"/>
      <c r="VA5" s="25"/>
      <c r="VB5" s="25"/>
      <c r="VC5" s="25"/>
      <c r="VD5" s="25"/>
      <c r="VE5" s="25"/>
      <c r="VF5" s="25"/>
      <c r="VG5" s="25"/>
      <c r="VH5" s="25"/>
      <c r="VI5" s="25"/>
      <c r="VJ5" s="25"/>
      <c r="VK5" s="25"/>
      <c r="VL5" s="25"/>
      <c r="VM5" s="25"/>
      <c r="VN5" s="25"/>
      <c r="VO5" s="25"/>
      <c r="VP5" s="25"/>
      <c r="VQ5" s="25"/>
      <c r="VR5" s="25"/>
      <c r="VS5" s="25"/>
      <c r="VT5" s="25"/>
      <c r="VU5" s="25"/>
      <c r="VV5" s="25"/>
      <c r="VW5" s="25"/>
      <c r="VX5" s="25"/>
      <c r="VY5" s="25"/>
      <c r="VZ5" s="25"/>
      <c r="WA5" s="25"/>
      <c r="WB5" s="25"/>
      <c r="WC5" s="25"/>
      <c r="WD5" s="25"/>
      <c r="WE5" s="25"/>
      <c r="WF5" s="25"/>
      <c r="WG5" s="25"/>
      <c r="WH5" s="25"/>
      <c r="WI5" s="25"/>
      <c r="WJ5" s="25"/>
      <c r="WK5" s="25"/>
      <c r="WL5" s="25"/>
      <c r="WM5" s="25"/>
      <c r="WN5" s="25"/>
      <c r="WO5" s="25"/>
      <c r="WP5" s="25"/>
      <c r="WQ5" s="25"/>
      <c r="WR5" s="25"/>
      <c r="WS5" s="25"/>
      <c r="WT5" s="25"/>
      <c r="WU5" s="25"/>
      <c r="WV5" s="25"/>
      <c r="WW5" s="25"/>
      <c r="WX5" s="25"/>
      <c r="WY5" s="25"/>
      <c r="WZ5" s="25"/>
      <c r="XA5" s="25"/>
      <c r="XB5" s="25"/>
      <c r="XC5" s="25"/>
      <c r="XD5" s="25"/>
      <c r="XE5" s="25"/>
      <c r="XF5" s="25"/>
      <c r="XG5" s="25"/>
      <c r="XH5" s="25"/>
      <c r="XI5" s="25"/>
      <c r="XJ5" s="25"/>
      <c r="XK5" s="25"/>
      <c r="XL5" s="25"/>
      <c r="XM5" s="25"/>
      <c r="XN5" s="25"/>
      <c r="XO5" s="25"/>
      <c r="XP5" s="25"/>
      <c r="XQ5" s="25"/>
      <c r="XR5" s="25"/>
      <c r="XS5" s="25"/>
      <c r="XT5" s="25"/>
      <c r="XU5" s="25"/>
      <c r="XV5" s="25"/>
      <c r="XW5" s="25"/>
      <c r="XX5" s="25"/>
      <c r="XY5" s="25"/>
      <c r="XZ5" s="25"/>
      <c r="YA5" s="25"/>
      <c r="YB5" s="25"/>
      <c r="YC5" s="25"/>
      <c r="YD5" s="25"/>
      <c r="YE5" s="25"/>
      <c r="YF5" s="25"/>
      <c r="YG5" s="25"/>
      <c r="YH5" s="25"/>
      <c r="YI5" s="25"/>
      <c r="YJ5" s="25"/>
      <c r="YK5" s="25"/>
      <c r="YL5" s="25"/>
      <c r="YM5" s="25"/>
      <c r="YN5" s="25"/>
      <c r="YO5" s="25"/>
      <c r="YP5" s="25"/>
      <c r="YQ5" s="25"/>
      <c r="YR5" s="25"/>
      <c r="YS5" s="25"/>
    </row>
    <row r="6" spans="1:669" s="17" customFormat="1" ht="30.75" thickBot="1" x14ac:dyDescent="0.25">
      <c r="A6" s="263" t="s">
        <v>22</v>
      </c>
      <c r="B6" s="660" t="s">
        <v>12</v>
      </c>
      <c r="C6" s="263" t="s">
        <v>1</v>
      </c>
      <c r="D6" s="660" t="s">
        <v>2</v>
      </c>
      <c r="E6" s="263" t="s">
        <v>3</v>
      </c>
      <c r="F6" s="609" t="s">
        <v>9</v>
      </c>
      <c r="G6" s="268" t="s">
        <v>27</v>
      </c>
      <c r="H6" s="609" t="s">
        <v>195</v>
      </c>
      <c r="I6" s="719" t="s">
        <v>26</v>
      </c>
      <c r="J6" s="268" t="s">
        <v>19</v>
      </c>
      <c r="K6" s="721" t="s">
        <v>92</v>
      </c>
      <c r="L6" s="35"/>
      <c r="M6" s="26"/>
      <c r="N6" s="26"/>
      <c r="O6" s="26"/>
      <c r="P6" s="26"/>
      <c r="Q6" s="26"/>
      <c r="R6" s="26"/>
      <c r="S6" s="26"/>
      <c r="T6" s="26"/>
      <c r="U6" s="26"/>
      <c r="V6" s="26"/>
      <c r="W6" s="26"/>
      <c r="X6" s="26"/>
      <c r="Y6" s="26"/>
      <c r="Z6" s="26"/>
      <c r="AA6" s="26"/>
      <c r="AB6" s="27"/>
      <c r="AC6" s="27"/>
      <c r="AD6" s="27"/>
      <c r="AE6" s="27"/>
      <c r="AF6" s="27"/>
      <c r="AG6" s="27"/>
      <c r="AH6" s="27"/>
      <c r="AI6" s="27"/>
      <c r="AJ6" s="27"/>
      <c r="AK6" s="27"/>
      <c r="AL6" s="27"/>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row>
    <row r="7" spans="1:669" ht="15" hidden="1" thickBot="1" x14ac:dyDescent="0.25">
      <c r="A7" s="574" t="s">
        <v>325</v>
      </c>
      <c r="B7" s="619" t="s">
        <v>14</v>
      </c>
      <c r="C7" s="241" t="s">
        <v>339</v>
      </c>
      <c r="D7" s="4">
        <v>43466</v>
      </c>
      <c r="E7" s="240">
        <v>43830</v>
      </c>
      <c r="F7" s="608"/>
      <c r="G7" s="243"/>
      <c r="H7" s="257"/>
      <c r="I7" s="720"/>
      <c r="J7" s="256"/>
      <c r="K7" s="722"/>
      <c r="L7" s="36"/>
    </row>
    <row r="8" spans="1:669" ht="15" hidden="1" x14ac:dyDescent="0.25">
      <c r="A8" s="748" t="s">
        <v>616</v>
      </c>
      <c r="B8" s="742" t="s">
        <v>14</v>
      </c>
      <c r="C8" s="750" t="s">
        <v>617</v>
      </c>
      <c r="D8" s="4">
        <v>45017</v>
      </c>
      <c r="E8" s="613">
        <v>45366</v>
      </c>
      <c r="F8" s="608"/>
      <c r="G8" s="589"/>
      <c r="H8" s="257"/>
      <c r="I8" s="589"/>
      <c r="J8" s="257">
        <f>F8-I8</f>
        <v>0</v>
      </c>
      <c r="K8" s="771"/>
      <c r="L8" s="36"/>
    </row>
    <row r="9" spans="1:669" hidden="1" x14ac:dyDescent="0.2">
      <c r="A9" t="s">
        <v>601</v>
      </c>
      <c r="B9" s="499" t="s">
        <v>13</v>
      </c>
      <c r="C9" s="241" t="s">
        <v>339</v>
      </c>
      <c r="D9" s="4">
        <v>44927</v>
      </c>
      <c r="E9" s="240">
        <v>45291</v>
      </c>
      <c r="F9" s="756"/>
      <c r="G9" s="243"/>
      <c r="H9" s="257">
        <f>'April''24 AR Aging '!G6</f>
        <v>0</v>
      </c>
      <c r="I9" s="243"/>
      <c r="J9" s="608">
        <f>F9-I9</f>
        <v>0</v>
      </c>
      <c r="K9" s="243"/>
      <c r="L9" s="205"/>
      <c r="M9" s="232"/>
    </row>
    <row r="10" spans="1:669" x14ac:dyDescent="0.2">
      <c r="A10" s="708" t="s">
        <v>615</v>
      </c>
      <c r="B10" s="714" t="s">
        <v>13</v>
      </c>
      <c r="C10" s="751" t="s">
        <v>339</v>
      </c>
      <c r="D10" s="621">
        <v>45292</v>
      </c>
      <c r="E10" s="459">
        <v>45657</v>
      </c>
      <c r="F10" s="757">
        <v>141001</v>
      </c>
      <c r="G10" s="255">
        <f>I10-H10</f>
        <v>0</v>
      </c>
      <c r="H10" s="610">
        <f>'April''24 AR Aging '!G7</f>
        <v>44216.06</v>
      </c>
      <c r="I10" s="255">
        <f>H10</f>
        <v>44216.06</v>
      </c>
      <c r="J10" s="760">
        <f>F10-I10</f>
        <v>96784.94</v>
      </c>
      <c r="K10" s="255"/>
      <c r="L10" s="623"/>
      <c r="M10" s="232"/>
    </row>
    <row r="11" spans="1:669" hidden="1" x14ac:dyDescent="0.2">
      <c r="A11" s="707" t="s">
        <v>533</v>
      </c>
      <c r="B11" s="499" t="s">
        <v>13</v>
      </c>
      <c r="C11" s="241" t="s">
        <v>338</v>
      </c>
      <c r="D11" s="4">
        <v>44743</v>
      </c>
      <c r="E11" s="240">
        <v>45107</v>
      </c>
      <c r="F11" s="758"/>
      <c r="G11" s="243"/>
      <c r="H11" s="257"/>
      <c r="I11" s="243"/>
      <c r="J11" s="608"/>
      <c r="K11" s="251"/>
      <c r="L11" s="623"/>
      <c r="M11" s="232"/>
    </row>
    <row r="12" spans="1:669" x14ac:dyDescent="0.2">
      <c r="A12" s="708" t="s">
        <v>558</v>
      </c>
      <c r="B12" s="714" t="s">
        <v>13</v>
      </c>
      <c r="C12" s="751" t="s">
        <v>338</v>
      </c>
      <c r="D12" s="621">
        <v>45108</v>
      </c>
      <c r="E12" s="459">
        <v>45473</v>
      </c>
      <c r="F12" s="759">
        <v>300000</v>
      </c>
      <c r="G12" s="255">
        <f>I12-H12</f>
        <v>145451.41999999998</v>
      </c>
      <c r="H12" s="610">
        <f>'April''24 AR Aging '!G13</f>
        <v>55089.7</v>
      </c>
      <c r="I12" s="255">
        <v>200541.12</v>
      </c>
      <c r="J12" s="760">
        <f>F12-I12</f>
        <v>99458.880000000005</v>
      </c>
      <c r="K12" s="744"/>
      <c r="L12" s="623"/>
      <c r="M12" s="232"/>
    </row>
    <row r="13" spans="1:669" hidden="1" x14ac:dyDescent="0.2">
      <c r="A13" s="707" t="s">
        <v>340</v>
      </c>
      <c r="B13" s="499" t="s">
        <v>13</v>
      </c>
      <c r="C13" s="241" t="s">
        <v>154</v>
      </c>
      <c r="D13" s="4">
        <v>43374</v>
      </c>
      <c r="E13" s="240">
        <v>43585</v>
      </c>
      <c r="F13" s="608"/>
      <c r="G13" s="243"/>
      <c r="H13" s="257"/>
      <c r="I13" s="243"/>
      <c r="J13" s="608"/>
      <c r="K13" s="251"/>
      <c r="L13" s="623"/>
      <c r="M13" s="232"/>
    </row>
    <row r="14" spans="1:669" hidden="1" x14ac:dyDescent="0.2">
      <c r="A14" s="707" t="s">
        <v>583</v>
      </c>
      <c r="B14" s="499" t="s">
        <v>13</v>
      </c>
      <c r="C14" s="241" t="s">
        <v>361</v>
      </c>
      <c r="D14" s="4">
        <v>44774</v>
      </c>
      <c r="E14" s="240">
        <v>45138</v>
      </c>
      <c r="F14" s="608"/>
      <c r="G14" s="243"/>
      <c r="H14" s="257"/>
      <c r="I14" s="243"/>
      <c r="J14" s="608"/>
      <c r="K14" s="243"/>
      <c r="L14" s="623"/>
      <c r="M14" s="232"/>
    </row>
    <row r="15" spans="1:669" x14ac:dyDescent="0.2">
      <c r="A15" s="708" t="s">
        <v>582</v>
      </c>
      <c r="B15" s="714" t="s">
        <v>13</v>
      </c>
      <c r="C15" s="751" t="s">
        <v>361</v>
      </c>
      <c r="D15" s="621">
        <v>45139</v>
      </c>
      <c r="E15" s="459">
        <v>45503</v>
      </c>
      <c r="F15" s="760">
        <v>353541.54</v>
      </c>
      <c r="G15" s="255">
        <f>I15-H15</f>
        <v>130757.87</v>
      </c>
      <c r="H15" s="610">
        <f>'April''24 AR Aging '!G31</f>
        <v>63044.97</v>
      </c>
      <c r="I15" s="255">
        <v>193802.84</v>
      </c>
      <c r="J15" s="760">
        <f>F15-I15</f>
        <v>159738.69999999998</v>
      </c>
      <c r="K15" s="255"/>
      <c r="L15" s="624"/>
      <c r="M15" s="232"/>
    </row>
    <row r="16" spans="1:669" s="2" customFormat="1" hidden="1" x14ac:dyDescent="0.2">
      <c r="A16" s="709" t="s">
        <v>395</v>
      </c>
      <c r="B16" s="715" t="s">
        <v>16</v>
      </c>
      <c r="C16" s="752" t="s">
        <v>5</v>
      </c>
      <c r="D16" s="622">
        <v>43831</v>
      </c>
      <c r="E16" s="580">
        <v>44196</v>
      </c>
      <c r="F16" s="761"/>
      <c r="G16" s="745"/>
      <c r="H16" s="257"/>
      <c r="I16" s="745"/>
      <c r="J16" s="761"/>
      <c r="K16" s="745"/>
      <c r="L16" s="623"/>
      <c r="M16" s="232"/>
      <c r="N16" s="21"/>
      <c r="O16" s="21"/>
      <c r="P16" s="21"/>
      <c r="Q16" s="21"/>
      <c r="R16" s="21"/>
      <c r="S16" s="21"/>
      <c r="T16" s="21"/>
      <c r="U16" s="21"/>
      <c r="V16" s="21"/>
      <c r="W16" s="21"/>
      <c r="X16" s="21"/>
      <c r="Y16" s="21"/>
      <c r="Z16" s="21"/>
      <c r="AA16" s="21"/>
      <c r="AB16" s="7"/>
      <c r="AC16" s="7"/>
      <c r="AD16" s="7"/>
      <c r="AE16" s="7"/>
      <c r="AF16" s="7"/>
      <c r="AG16" s="7"/>
      <c r="AH16" s="7"/>
      <c r="AI16" s="7"/>
      <c r="AJ16" s="7"/>
      <c r="AK16" s="7"/>
      <c r="AL16" s="7"/>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row>
    <row r="17" spans="1:669" s="2" customFormat="1" ht="13.5" hidden="1" customHeight="1" x14ac:dyDescent="0.2">
      <c r="A17" s="707"/>
      <c r="B17" s="499"/>
      <c r="C17" s="241"/>
      <c r="D17" s="4"/>
      <c r="E17" s="240"/>
      <c r="F17" s="608"/>
      <c r="G17" s="243"/>
      <c r="H17" s="257"/>
      <c r="I17" s="770"/>
      <c r="J17" s="608"/>
      <c r="K17" s="243"/>
      <c r="L17" s="205"/>
      <c r="M17" s="232"/>
      <c r="N17" s="21"/>
      <c r="O17" s="21"/>
      <c r="P17" s="21"/>
      <c r="Q17" s="21"/>
      <c r="R17" s="21"/>
      <c r="S17" s="21"/>
      <c r="T17" s="21"/>
      <c r="U17" s="21"/>
      <c r="V17" s="21"/>
      <c r="W17" s="21"/>
      <c r="X17" s="21"/>
      <c r="Y17" s="21"/>
      <c r="Z17" s="21"/>
      <c r="AA17" s="21"/>
      <c r="AB17" s="7"/>
      <c r="AC17" s="7"/>
      <c r="AD17" s="7"/>
      <c r="AE17" s="7"/>
      <c r="AF17" s="7"/>
      <c r="AG17" s="7"/>
      <c r="AH17" s="7"/>
      <c r="AI17" s="7"/>
      <c r="AJ17" s="7"/>
      <c r="AK17" s="7"/>
      <c r="AL17" s="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row>
    <row r="18" spans="1:669" s="2" customFormat="1" x14ac:dyDescent="0.2">
      <c r="A18" s="710" t="s">
        <v>629</v>
      </c>
      <c r="B18" s="499" t="s">
        <v>16</v>
      </c>
      <c r="C18" s="241" t="s">
        <v>21</v>
      </c>
      <c r="D18" s="4">
        <v>45383</v>
      </c>
      <c r="E18" s="240">
        <v>45534</v>
      </c>
      <c r="F18" s="608">
        <v>3052</v>
      </c>
      <c r="G18" s="243">
        <f>I18-H18</f>
        <v>0</v>
      </c>
      <c r="H18" s="257">
        <f>'April''24 AR Aging '!G47</f>
        <v>461.9</v>
      </c>
      <c r="I18" s="243">
        <f>H18</f>
        <v>461.9</v>
      </c>
      <c r="J18" s="608">
        <f>F18-I18</f>
        <v>2590.1</v>
      </c>
      <c r="K18" s="243"/>
      <c r="L18" s="205"/>
      <c r="M18" s="232"/>
      <c r="N18" s="21"/>
      <c r="O18" s="21"/>
      <c r="P18" s="21"/>
      <c r="Q18" s="21"/>
      <c r="R18" s="21"/>
      <c r="S18" s="21"/>
      <c r="T18" s="21"/>
      <c r="U18" s="21"/>
      <c r="V18" s="21"/>
      <c r="W18" s="21"/>
      <c r="X18" s="21"/>
      <c r="Y18" s="21"/>
      <c r="Z18" s="21"/>
      <c r="AA18" s="21"/>
      <c r="AB18" s="7"/>
      <c r="AC18" s="7"/>
      <c r="AD18" s="7"/>
      <c r="AE18" s="7"/>
      <c r="AF18" s="7"/>
      <c r="AG18" s="7"/>
      <c r="AH18" s="7"/>
      <c r="AI18" s="7"/>
      <c r="AJ18" s="7"/>
      <c r="AK18" s="7"/>
      <c r="AL18" s="7"/>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row>
    <row r="19" spans="1:669" s="2" customFormat="1" hidden="1" x14ac:dyDescent="0.2">
      <c r="A19" s="707"/>
      <c r="B19" s="499" t="s">
        <v>16</v>
      </c>
      <c r="C19" s="241" t="s">
        <v>21</v>
      </c>
      <c r="D19" s="4">
        <v>42644</v>
      </c>
      <c r="E19" s="240">
        <v>43008</v>
      </c>
      <c r="F19" s="608"/>
      <c r="G19" s="243"/>
      <c r="H19" s="608"/>
      <c r="I19" s="243"/>
      <c r="J19" s="608"/>
      <c r="K19" s="746"/>
      <c r="L19" s="205"/>
      <c r="M19" s="232"/>
      <c r="N19" s="21"/>
      <c r="O19" s="21"/>
      <c r="P19" s="21"/>
      <c r="Q19" s="21"/>
      <c r="R19" s="21"/>
      <c r="S19" s="21"/>
      <c r="T19" s="21"/>
      <c r="U19" s="21"/>
      <c r="V19" s="21"/>
      <c r="W19" s="21"/>
      <c r="X19" s="21"/>
      <c r="Y19" s="21"/>
      <c r="Z19" s="21"/>
      <c r="AA19" s="21"/>
      <c r="AB19" s="7"/>
      <c r="AC19" s="7"/>
      <c r="AD19" s="7"/>
      <c r="AE19" s="7"/>
      <c r="AF19" s="7"/>
      <c r="AG19" s="7"/>
      <c r="AH19" s="7"/>
      <c r="AI19" s="7"/>
      <c r="AJ19" s="7"/>
      <c r="AK19" s="7"/>
      <c r="AL19" s="7"/>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row>
    <row r="20" spans="1:669" s="2" customFormat="1" hidden="1" x14ac:dyDescent="0.2">
      <c r="A20" s="707" t="s">
        <v>194</v>
      </c>
      <c r="B20" s="499" t="s">
        <v>16</v>
      </c>
      <c r="C20" s="241" t="s">
        <v>21</v>
      </c>
      <c r="D20" s="4">
        <v>43556</v>
      </c>
      <c r="E20" s="240">
        <v>43921</v>
      </c>
      <c r="F20" s="608"/>
      <c r="G20" s="243"/>
      <c r="H20" s="608"/>
      <c r="I20" s="243"/>
      <c r="J20" s="608"/>
      <c r="K20" s="746"/>
      <c r="L20" s="205"/>
      <c r="M20" s="232"/>
      <c r="N20" s="21"/>
      <c r="O20" s="21"/>
      <c r="P20" s="21"/>
      <c r="Q20" s="21"/>
      <c r="R20" s="21"/>
      <c r="S20" s="21"/>
      <c r="T20" s="21"/>
      <c r="U20" s="21"/>
      <c r="V20" s="21"/>
      <c r="W20" s="21"/>
      <c r="X20" s="21"/>
      <c r="Y20" s="21"/>
      <c r="Z20" s="21"/>
      <c r="AA20" s="21"/>
      <c r="AB20" s="7"/>
      <c r="AC20" s="7"/>
      <c r="AD20" s="7"/>
      <c r="AE20" s="7"/>
      <c r="AF20" s="7"/>
      <c r="AG20" s="7"/>
      <c r="AH20" s="7"/>
      <c r="AI20" s="7"/>
      <c r="AJ20" s="7"/>
      <c r="AK20" s="7"/>
      <c r="AL20" s="7"/>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row>
    <row r="21" spans="1:669" s="2" customFormat="1" ht="12.75" hidden="1" customHeight="1" x14ac:dyDescent="0.2">
      <c r="A21" s="707" t="s">
        <v>194</v>
      </c>
      <c r="B21" s="499" t="s">
        <v>16</v>
      </c>
      <c r="C21" s="241" t="s">
        <v>21</v>
      </c>
      <c r="D21" s="4">
        <v>43922</v>
      </c>
      <c r="E21" s="240">
        <v>44286</v>
      </c>
      <c r="F21" s="762"/>
      <c r="G21" s="243"/>
      <c r="H21" s="608"/>
      <c r="I21" s="243"/>
      <c r="J21" s="608"/>
      <c r="K21" s="243"/>
      <c r="L21" s="205"/>
      <c r="M21" s="232"/>
      <c r="N21" s="21"/>
      <c r="O21" s="21"/>
      <c r="P21" s="21"/>
      <c r="Q21" s="21"/>
      <c r="R21" s="21"/>
      <c r="S21" s="21"/>
      <c r="T21" s="21"/>
      <c r="U21" s="21"/>
      <c r="V21" s="21"/>
      <c r="W21" s="21"/>
      <c r="X21" s="21"/>
      <c r="Y21" s="21"/>
      <c r="Z21" s="21"/>
      <c r="AA21" s="21"/>
      <c r="AB21" s="7"/>
      <c r="AC21" s="7"/>
      <c r="AD21" s="7"/>
      <c r="AE21" s="7"/>
      <c r="AF21" s="7"/>
      <c r="AG21" s="7"/>
      <c r="AH21" s="7"/>
      <c r="AI21" s="7"/>
      <c r="AJ21" s="7"/>
      <c r="AK21" s="7"/>
      <c r="AL21" s="7"/>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row>
    <row r="22" spans="1:669" s="2" customFormat="1" ht="12.75" hidden="1" customHeight="1" x14ac:dyDescent="0.2">
      <c r="A22" s="707" t="s">
        <v>449</v>
      </c>
      <c r="B22" s="499" t="s">
        <v>16</v>
      </c>
      <c r="C22" s="241" t="s">
        <v>5</v>
      </c>
      <c r="D22" s="4">
        <v>44562</v>
      </c>
      <c r="E22" s="240">
        <v>44926</v>
      </c>
      <c r="F22" s="762"/>
      <c r="G22" s="243"/>
      <c r="H22" s="608"/>
      <c r="I22" s="243"/>
      <c r="J22" s="608"/>
      <c r="K22" s="243"/>
      <c r="L22" s="205"/>
      <c r="M22" s="232"/>
      <c r="N22" s="21"/>
      <c r="O22" s="21"/>
      <c r="P22" s="21"/>
      <c r="Q22" s="21"/>
      <c r="R22" s="21"/>
      <c r="S22" s="21"/>
      <c r="T22" s="21"/>
      <c r="U22" s="21"/>
      <c r="V22" s="21"/>
      <c r="W22" s="21"/>
      <c r="X22" s="21"/>
      <c r="Y22" s="21"/>
      <c r="Z22" s="21"/>
      <c r="AA22" s="21"/>
      <c r="AB22" s="7"/>
      <c r="AC22" s="7"/>
      <c r="AD22" s="7"/>
      <c r="AE22" s="7"/>
      <c r="AF22" s="7"/>
      <c r="AG22" s="7"/>
      <c r="AH22" s="7"/>
      <c r="AI22" s="7"/>
      <c r="AJ22" s="7"/>
      <c r="AK22" s="7"/>
      <c r="AL22" s="7"/>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row>
    <row r="23" spans="1:669" s="2" customFormat="1" ht="12.95" hidden="1" customHeight="1" x14ac:dyDescent="0.2">
      <c r="A23" s="707" t="s">
        <v>534</v>
      </c>
      <c r="B23" s="499" t="s">
        <v>16</v>
      </c>
      <c r="C23" s="241" t="s">
        <v>21</v>
      </c>
      <c r="D23" s="4">
        <v>44927</v>
      </c>
      <c r="E23" s="240">
        <v>45291</v>
      </c>
      <c r="F23" s="762"/>
      <c r="G23" s="243"/>
      <c r="H23" s="608"/>
      <c r="I23" s="243"/>
      <c r="J23" s="608"/>
      <c r="K23" s="243"/>
      <c r="L23" s="205"/>
      <c r="M23" s="232"/>
      <c r="N23" s="21"/>
      <c r="O23" s="21"/>
      <c r="P23" s="21"/>
      <c r="Q23" s="21"/>
      <c r="R23" s="21"/>
      <c r="S23" s="21"/>
      <c r="T23" s="21"/>
      <c r="U23" s="21"/>
      <c r="V23" s="21"/>
      <c r="W23" s="21"/>
      <c r="X23" s="21"/>
      <c r="Y23" s="21"/>
      <c r="Z23" s="21"/>
      <c r="AA23" s="21"/>
      <c r="AB23" s="7"/>
      <c r="AC23" s="7"/>
      <c r="AD23" s="7"/>
      <c r="AE23" s="7"/>
      <c r="AF23" s="7"/>
      <c r="AG23" s="7"/>
      <c r="AH23" s="7"/>
      <c r="AI23" s="7"/>
      <c r="AJ23" s="7"/>
      <c r="AK23" s="7"/>
      <c r="AL23" s="7"/>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row>
    <row r="24" spans="1:669" s="2" customFormat="1" ht="12.75" customHeight="1" x14ac:dyDescent="0.2">
      <c r="A24" s="707" t="s">
        <v>630</v>
      </c>
      <c r="B24" s="499" t="s">
        <v>16</v>
      </c>
      <c r="C24" s="241" t="s">
        <v>21</v>
      </c>
      <c r="D24" s="4">
        <v>45292</v>
      </c>
      <c r="E24" s="240">
        <v>45657</v>
      </c>
      <c r="F24" s="762">
        <v>50000</v>
      </c>
      <c r="G24" s="243">
        <f>I24-H24</f>
        <v>8333.48</v>
      </c>
      <c r="H24" s="608">
        <f>'April''24 AR Aging '!G39</f>
        <v>8333.2000000000007</v>
      </c>
      <c r="I24" s="243">
        <f>4166.67*4</f>
        <v>16666.68</v>
      </c>
      <c r="J24" s="608">
        <f>F24-I24</f>
        <v>33333.32</v>
      </c>
      <c r="K24" s="243"/>
      <c r="L24" s="205"/>
      <c r="M24" s="232"/>
      <c r="N24" s="21"/>
      <c r="O24" s="21"/>
      <c r="P24" s="21"/>
      <c r="Q24" s="21"/>
      <c r="R24" s="21"/>
      <c r="S24" s="21"/>
      <c r="T24" s="21"/>
      <c r="U24" s="21"/>
      <c r="V24" s="21"/>
      <c r="W24" s="21"/>
      <c r="X24" s="21"/>
      <c r="Y24" s="21"/>
      <c r="Z24" s="21"/>
      <c r="AA24" s="21"/>
      <c r="AB24" s="7"/>
      <c r="AC24" s="7"/>
      <c r="AD24" s="7"/>
      <c r="AE24" s="7"/>
      <c r="AF24" s="7"/>
      <c r="AG24" s="7"/>
      <c r="AH24" s="7"/>
      <c r="AI24" s="7"/>
      <c r="AJ24" s="7"/>
      <c r="AK24" s="7"/>
      <c r="AL24" s="7"/>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row>
    <row r="25" spans="1:669" s="2" customFormat="1" ht="12.75" customHeight="1" x14ac:dyDescent="0.2">
      <c r="A25" s="707" t="s">
        <v>194</v>
      </c>
      <c r="B25" s="499" t="s">
        <v>16</v>
      </c>
      <c r="C25" s="241" t="s">
        <v>21</v>
      </c>
      <c r="D25" s="4">
        <v>45017</v>
      </c>
      <c r="E25" s="240">
        <v>45382</v>
      </c>
      <c r="F25" s="762">
        <v>163196</v>
      </c>
      <c r="G25" s="243"/>
      <c r="H25" s="608">
        <f>'April''24 AR Aging '!G49</f>
        <v>19613.849999999999</v>
      </c>
      <c r="I25" s="243">
        <v>161087.59</v>
      </c>
      <c r="J25" s="608">
        <f>F25-I25</f>
        <v>2108.4100000000035</v>
      </c>
      <c r="K25" s="243"/>
      <c r="L25" s="205"/>
      <c r="M25" s="232"/>
      <c r="N25" s="21"/>
      <c r="O25" s="21"/>
      <c r="P25" s="21"/>
      <c r="Q25" s="21"/>
      <c r="R25" s="21"/>
      <c r="S25" s="21"/>
      <c r="T25" s="21"/>
      <c r="U25" s="21"/>
      <c r="V25" s="21"/>
      <c r="W25" s="21"/>
      <c r="X25" s="21"/>
      <c r="Y25" s="21"/>
      <c r="Z25" s="21"/>
      <c r="AA25" s="21"/>
      <c r="AB25" s="7"/>
      <c r="AC25" s="7"/>
      <c r="AD25" s="7"/>
      <c r="AE25" s="7"/>
      <c r="AF25" s="7"/>
      <c r="AG25" s="7"/>
      <c r="AH25" s="7"/>
      <c r="AI25" s="7"/>
      <c r="AJ25" s="7"/>
      <c r="AK25" s="7"/>
      <c r="AL25" s="7"/>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row>
    <row r="26" spans="1:669" s="2" customFormat="1" ht="15" customHeight="1" x14ac:dyDescent="0.25">
      <c r="A26" s="708" t="s">
        <v>194</v>
      </c>
      <c r="B26" s="714" t="s">
        <v>16</v>
      </c>
      <c r="C26" s="751" t="s">
        <v>21</v>
      </c>
      <c r="D26" s="621">
        <v>45383</v>
      </c>
      <c r="E26" s="459">
        <v>45747</v>
      </c>
      <c r="F26" s="782" t="s">
        <v>673</v>
      </c>
      <c r="G26" s="255">
        <f>I26-H26</f>
        <v>0</v>
      </c>
      <c r="H26" s="760">
        <f>'April''24 AR Aging '!G50</f>
        <v>12132.37</v>
      </c>
      <c r="I26" s="255">
        <f>H26</f>
        <v>12132.37</v>
      </c>
      <c r="J26" s="760"/>
      <c r="K26" s="255"/>
      <c r="L26" s="205"/>
      <c r="M26" s="232"/>
      <c r="N26" s="21"/>
      <c r="O26" s="21"/>
      <c r="P26" s="21"/>
      <c r="Q26" s="21"/>
      <c r="R26" s="21"/>
      <c r="S26" s="21"/>
      <c r="T26" s="21"/>
      <c r="U26" s="21"/>
      <c r="V26" s="21"/>
      <c r="W26" s="21"/>
      <c r="X26" s="21"/>
      <c r="Y26" s="21"/>
      <c r="Z26" s="21"/>
      <c r="AA26" s="21"/>
      <c r="AB26" s="7"/>
      <c r="AC26" s="7"/>
      <c r="AD26" s="7"/>
      <c r="AE26" s="7"/>
      <c r="AF26" s="7"/>
      <c r="AG26" s="7"/>
      <c r="AH26" s="7"/>
      <c r="AI26" s="7"/>
      <c r="AJ26" s="7"/>
      <c r="AK26" s="7"/>
      <c r="AL26" s="7"/>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row>
    <row r="27" spans="1:669" s="2" customFormat="1" ht="12.75" hidden="1" customHeight="1" x14ac:dyDescent="0.2">
      <c r="A27" s="711" t="s">
        <v>429</v>
      </c>
      <c r="B27" s="716" t="s">
        <v>386</v>
      </c>
      <c r="C27" s="753" t="s">
        <v>21</v>
      </c>
      <c r="D27" s="627">
        <v>44256</v>
      </c>
      <c r="E27" s="628">
        <v>44621</v>
      </c>
      <c r="F27" s="762"/>
      <c r="G27" s="243"/>
      <c r="H27" s="608"/>
      <c r="I27" s="243"/>
      <c r="J27" s="608"/>
      <c r="K27" s="243"/>
      <c r="L27" s="205"/>
      <c r="M27" s="232"/>
      <c r="N27" s="21"/>
      <c r="O27" s="21"/>
      <c r="P27" s="21"/>
      <c r="Q27" s="21"/>
      <c r="R27" s="21"/>
      <c r="S27" s="21"/>
      <c r="T27" s="21"/>
      <c r="U27" s="21"/>
      <c r="V27" s="21"/>
      <c r="W27" s="21"/>
      <c r="X27" s="21"/>
      <c r="Y27" s="21"/>
      <c r="Z27" s="21"/>
      <c r="AA27" s="21"/>
      <c r="AB27" s="7"/>
      <c r="AC27" s="7"/>
      <c r="AD27" s="7"/>
      <c r="AE27" s="7"/>
      <c r="AF27" s="7"/>
      <c r="AG27" s="7"/>
      <c r="AH27" s="7"/>
      <c r="AI27" s="7"/>
      <c r="AJ27" s="7"/>
      <c r="AK27" s="7"/>
      <c r="AL27" s="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row>
    <row r="28" spans="1:669" s="2" customFormat="1" ht="12.75" hidden="1" customHeight="1" x14ac:dyDescent="0.2">
      <c r="A28" s="711"/>
      <c r="B28" s="716"/>
      <c r="C28" s="753"/>
      <c r="D28" s="627"/>
      <c r="E28" s="628"/>
      <c r="F28" s="762"/>
      <c r="G28" s="243"/>
      <c r="H28" s="608"/>
      <c r="I28" s="243"/>
      <c r="J28" s="608"/>
      <c r="K28" s="243"/>
      <c r="L28" s="205"/>
      <c r="M28" s="232"/>
      <c r="N28" s="21"/>
      <c r="O28" s="21"/>
      <c r="P28" s="21"/>
      <c r="Q28" s="21"/>
      <c r="R28" s="21"/>
      <c r="S28" s="21"/>
      <c r="T28" s="21"/>
      <c r="U28" s="21"/>
      <c r="V28" s="21"/>
      <c r="W28" s="21"/>
      <c r="X28" s="21"/>
      <c r="Y28" s="21"/>
      <c r="Z28" s="21"/>
      <c r="AA28" s="21"/>
      <c r="AB28" s="7"/>
      <c r="AC28" s="7"/>
      <c r="AD28" s="7"/>
      <c r="AE28" s="7"/>
      <c r="AF28" s="7"/>
      <c r="AG28" s="7"/>
      <c r="AH28" s="7"/>
      <c r="AI28" s="7"/>
      <c r="AJ28" s="7"/>
      <c r="AK28" s="7"/>
      <c r="AL28" s="7"/>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row>
    <row r="29" spans="1:669" s="579" customFormat="1" ht="15.75" hidden="1" customHeight="1" x14ac:dyDescent="0.2">
      <c r="A29" s="711" t="s">
        <v>450</v>
      </c>
      <c r="B29" s="716" t="s">
        <v>386</v>
      </c>
      <c r="C29" s="753" t="s">
        <v>21</v>
      </c>
      <c r="D29" s="627">
        <v>44562</v>
      </c>
      <c r="E29" s="628">
        <v>44926</v>
      </c>
      <c r="F29" s="763"/>
      <c r="G29" s="747"/>
      <c r="H29" s="767"/>
      <c r="I29" s="747"/>
      <c r="J29" s="767"/>
      <c r="K29" s="747"/>
      <c r="L29" s="575"/>
      <c r="M29" s="576"/>
      <c r="N29" s="577"/>
      <c r="O29" s="577"/>
      <c r="P29" s="577"/>
      <c r="Q29" s="577"/>
      <c r="R29" s="577"/>
      <c r="S29" s="577"/>
      <c r="T29" s="577"/>
      <c r="U29" s="577"/>
      <c r="V29" s="577"/>
      <c r="W29" s="577"/>
      <c r="X29" s="577"/>
      <c r="Y29" s="577"/>
      <c r="Z29" s="577"/>
      <c r="AA29" s="577"/>
      <c r="AB29" s="578"/>
      <c r="AC29" s="578"/>
      <c r="AD29" s="578"/>
      <c r="AE29" s="578"/>
      <c r="AF29" s="578"/>
      <c r="AG29" s="578"/>
      <c r="AH29" s="578"/>
      <c r="AI29" s="578"/>
      <c r="AJ29" s="578"/>
      <c r="AK29" s="578"/>
      <c r="AL29" s="578"/>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c r="FJ29" s="55"/>
      <c r="FK29" s="55"/>
      <c r="FL29" s="55"/>
      <c r="FM29" s="55"/>
      <c r="FN29" s="55"/>
      <c r="FO29" s="55"/>
      <c r="FP29" s="55"/>
      <c r="FQ29" s="55"/>
      <c r="FR29" s="55"/>
      <c r="FS29" s="55"/>
      <c r="FT29" s="55"/>
      <c r="FU29" s="55"/>
      <c r="FV29" s="55"/>
      <c r="FW29" s="55"/>
      <c r="FX29" s="55"/>
      <c r="FY29" s="55"/>
      <c r="FZ29" s="55"/>
      <c r="GA29" s="55"/>
      <c r="GB29" s="55"/>
      <c r="GC29" s="55"/>
      <c r="GD29" s="55"/>
      <c r="GE29" s="55"/>
      <c r="GF29" s="55"/>
      <c r="GG29" s="55"/>
      <c r="GH29" s="55"/>
      <c r="GI29" s="55"/>
      <c r="GJ29" s="55"/>
      <c r="GK29" s="55"/>
      <c r="GL29" s="55"/>
      <c r="GM29" s="55"/>
      <c r="GN29" s="55"/>
      <c r="GO29" s="55"/>
      <c r="GP29" s="55"/>
      <c r="GQ29" s="55"/>
      <c r="GR29" s="55"/>
      <c r="GS29" s="55"/>
      <c r="GT29" s="55"/>
      <c r="GU29" s="55"/>
      <c r="GV29" s="55"/>
      <c r="GW29" s="55"/>
      <c r="GX29" s="55"/>
      <c r="GY29" s="55"/>
      <c r="GZ29" s="55"/>
      <c r="HA29" s="55"/>
      <c r="HB29" s="55"/>
      <c r="HC29" s="55"/>
      <c r="HD29" s="55"/>
      <c r="HE29" s="55"/>
      <c r="HF29" s="55"/>
      <c r="HG29" s="55"/>
      <c r="HH29" s="55"/>
      <c r="HI29" s="55"/>
      <c r="HJ29" s="55"/>
      <c r="HK29" s="55"/>
      <c r="HL29" s="55"/>
      <c r="HM29" s="55"/>
      <c r="HN29" s="55"/>
      <c r="HO29" s="55"/>
      <c r="HP29" s="55"/>
      <c r="HQ29" s="55"/>
      <c r="HR29" s="55"/>
      <c r="HS29" s="55"/>
      <c r="HT29" s="55"/>
      <c r="HU29" s="55"/>
      <c r="HV29" s="55"/>
      <c r="HW29" s="55"/>
      <c r="HX29" s="55"/>
      <c r="HY29" s="55"/>
      <c r="HZ29" s="55"/>
      <c r="IA29" s="55"/>
      <c r="IB29" s="55"/>
      <c r="IC29" s="55"/>
      <c r="ID29" s="55"/>
      <c r="IE29" s="55"/>
      <c r="IF29" s="55"/>
      <c r="IG29" s="55"/>
      <c r="IH29" s="55"/>
      <c r="II29" s="55"/>
      <c r="IJ29" s="55"/>
      <c r="IK29" s="55"/>
      <c r="IL29" s="55"/>
      <c r="IM29" s="55"/>
      <c r="IN29" s="55"/>
      <c r="IO29" s="55"/>
      <c r="IP29" s="55"/>
      <c r="IQ29" s="55"/>
      <c r="IR29" s="55"/>
      <c r="IS29" s="55"/>
      <c r="IT29" s="55"/>
      <c r="IU29" s="55"/>
      <c r="IV29" s="55"/>
      <c r="IW29" s="55"/>
      <c r="IX29" s="55"/>
      <c r="IY29" s="55"/>
      <c r="IZ29" s="55"/>
      <c r="JA29" s="55"/>
      <c r="JB29" s="55"/>
      <c r="JC29" s="55"/>
      <c r="JD29" s="55"/>
      <c r="JE29" s="55"/>
      <c r="JF29" s="55"/>
      <c r="JG29" s="55"/>
      <c r="JH29" s="55"/>
      <c r="JI29" s="55"/>
      <c r="JJ29" s="55"/>
      <c r="JK29" s="55"/>
      <c r="JL29" s="55"/>
      <c r="JM29" s="55"/>
      <c r="JN29" s="55"/>
      <c r="JO29" s="55"/>
      <c r="JP29" s="55"/>
      <c r="JQ29" s="55"/>
      <c r="JR29" s="55"/>
      <c r="JS29" s="55"/>
      <c r="JT29" s="55"/>
      <c r="JU29" s="55"/>
      <c r="JV29" s="55"/>
      <c r="JW29" s="55"/>
      <c r="JX29" s="55"/>
      <c r="JY29" s="55"/>
      <c r="JZ29" s="55"/>
      <c r="KA29" s="55"/>
      <c r="KB29" s="55"/>
      <c r="KC29" s="55"/>
      <c r="KD29" s="55"/>
      <c r="KE29" s="55"/>
      <c r="KF29" s="55"/>
      <c r="KG29" s="55"/>
      <c r="KH29" s="55"/>
      <c r="KI29" s="55"/>
      <c r="KJ29" s="55"/>
      <c r="KK29" s="55"/>
      <c r="KL29" s="55"/>
      <c r="KM29" s="55"/>
      <c r="KN29" s="55"/>
      <c r="KO29" s="55"/>
      <c r="KP29" s="55"/>
      <c r="KQ29" s="55"/>
      <c r="KR29" s="55"/>
      <c r="KS29" s="55"/>
      <c r="KT29" s="55"/>
      <c r="KU29" s="55"/>
      <c r="KV29" s="55"/>
      <c r="KW29" s="55"/>
      <c r="KX29" s="55"/>
      <c r="KY29" s="55"/>
      <c r="KZ29" s="55"/>
      <c r="LA29" s="55"/>
      <c r="LB29" s="55"/>
      <c r="LC29" s="55"/>
      <c r="LD29" s="55"/>
      <c r="LE29" s="55"/>
      <c r="LF29" s="55"/>
      <c r="LG29" s="55"/>
      <c r="LH29" s="55"/>
      <c r="LI29" s="55"/>
      <c r="LJ29" s="55"/>
      <c r="LK29" s="55"/>
      <c r="LL29" s="55"/>
      <c r="LM29" s="55"/>
      <c r="LN29" s="55"/>
      <c r="LO29" s="55"/>
      <c r="LP29" s="55"/>
      <c r="LQ29" s="55"/>
      <c r="LR29" s="55"/>
      <c r="LS29" s="55"/>
      <c r="LT29" s="55"/>
      <c r="LU29" s="55"/>
      <c r="LV29" s="55"/>
      <c r="LW29" s="55"/>
      <c r="LX29" s="55"/>
      <c r="LY29" s="55"/>
      <c r="LZ29" s="55"/>
      <c r="MA29" s="55"/>
      <c r="MB29" s="55"/>
      <c r="MC29" s="55"/>
      <c r="MD29" s="55"/>
      <c r="ME29" s="55"/>
      <c r="MF29" s="55"/>
      <c r="MG29" s="55"/>
      <c r="MH29" s="55"/>
      <c r="MI29" s="55"/>
      <c r="MJ29" s="55"/>
      <c r="MK29" s="55"/>
      <c r="ML29" s="55"/>
      <c r="MM29" s="55"/>
      <c r="MN29" s="55"/>
      <c r="MO29" s="55"/>
      <c r="MP29" s="55"/>
      <c r="MQ29" s="55"/>
      <c r="MR29" s="55"/>
      <c r="MS29" s="55"/>
      <c r="MT29" s="55"/>
      <c r="MU29" s="55"/>
      <c r="MV29" s="55"/>
      <c r="MW29" s="55"/>
      <c r="MX29" s="55"/>
      <c r="MY29" s="55"/>
      <c r="MZ29" s="55"/>
      <c r="NA29" s="55"/>
      <c r="NB29" s="55"/>
      <c r="NC29" s="55"/>
      <c r="ND29" s="55"/>
      <c r="NE29" s="55"/>
      <c r="NF29" s="55"/>
      <c r="NG29" s="55"/>
      <c r="NH29" s="55"/>
      <c r="NI29" s="55"/>
      <c r="NJ29" s="55"/>
      <c r="NK29" s="55"/>
      <c r="NL29" s="55"/>
      <c r="NM29" s="55"/>
      <c r="NN29" s="55"/>
      <c r="NO29" s="55"/>
      <c r="NP29" s="55"/>
      <c r="NQ29" s="55"/>
      <c r="NR29" s="55"/>
      <c r="NS29" s="55"/>
      <c r="NT29" s="55"/>
      <c r="NU29" s="55"/>
      <c r="NV29" s="55"/>
      <c r="NW29" s="55"/>
      <c r="NX29" s="55"/>
      <c r="NY29" s="55"/>
      <c r="NZ29" s="55"/>
      <c r="OA29" s="55"/>
      <c r="OB29" s="55"/>
      <c r="OC29" s="55"/>
      <c r="OD29" s="55"/>
      <c r="OE29" s="55"/>
      <c r="OF29" s="55"/>
      <c r="OG29" s="55"/>
      <c r="OH29" s="55"/>
      <c r="OI29" s="55"/>
      <c r="OJ29" s="55"/>
      <c r="OK29" s="55"/>
      <c r="OL29" s="55"/>
      <c r="OM29" s="55"/>
      <c r="ON29" s="55"/>
      <c r="OO29" s="55"/>
      <c r="OP29" s="55"/>
      <c r="OQ29" s="55"/>
      <c r="OR29" s="55"/>
      <c r="OS29" s="55"/>
      <c r="OT29" s="55"/>
      <c r="OU29" s="55"/>
      <c r="OV29" s="55"/>
      <c r="OW29" s="55"/>
      <c r="OX29" s="55"/>
      <c r="OY29" s="55"/>
      <c r="OZ29" s="55"/>
      <c r="PA29" s="55"/>
      <c r="PB29" s="55"/>
      <c r="PC29" s="55"/>
      <c r="PD29" s="55"/>
      <c r="PE29" s="55"/>
      <c r="PF29" s="55"/>
      <c r="PG29" s="55"/>
      <c r="PH29" s="55"/>
      <c r="PI29" s="55"/>
      <c r="PJ29" s="55"/>
      <c r="PK29" s="55"/>
      <c r="PL29" s="55"/>
      <c r="PM29" s="55"/>
      <c r="PN29" s="55"/>
      <c r="PO29" s="55"/>
      <c r="PP29" s="55"/>
      <c r="PQ29" s="55"/>
      <c r="PR29" s="55"/>
      <c r="PS29" s="55"/>
      <c r="PT29" s="55"/>
      <c r="PU29" s="55"/>
      <c r="PV29" s="55"/>
      <c r="PW29" s="55"/>
      <c r="PX29" s="55"/>
      <c r="PY29" s="55"/>
      <c r="PZ29" s="55"/>
      <c r="QA29" s="55"/>
      <c r="QB29" s="55"/>
      <c r="QC29" s="55"/>
      <c r="QD29" s="55"/>
      <c r="QE29" s="55"/>
      <c r="QF29" s="55"/>
      <c r="QG29" s="55"/>
      <c r="QH29" s="55"/>
      <c r="QI29" s="55"/>
      <c r="QJ29" s="55"/>
      <c r="QK29" s="55"/>
      <c r="QL29" s="55"/>
      <c r="QM29" s="55"/>
      <c r="QN29" s="55"/>
      <c r="QO29" s="55"/>
      <c r="QP29" s="55"/>
      <c r="QQ29" s="55"/>
      <c r="QR29" s="55"/>
      <c r="QS29" s="55"/>
      <c r="QT29" s="55"/>
      <c r="QU29" s="55"/>
      <c r="QV29" s="55"/>
      <c r="QW29" s="55"/>
      <c r="QX29" s="55"/>
      <c r="QY29" s="55"/>
      <c r="QZ29" s="55"/>
      <c r="RA29" s="55"/>
      <c r="RB29" s="55"/>
      <c r="RC29" s="55"/>
      <c r="RD29" s="55"/>
      <c r="RE29" s="55"/>
      <c r="RF29" s="55"/>
      <c r="RG29" s="55"/>
      <c r="RH29" s="55"/>
      <c r="RI29" s="55"/>
      <c r="RJ29" s="55"/>
      <c r="RK29" s="55"/>
      <c r="RL29" s="55"/>
      <c r="RM29" s="55"/>
      <c r="RN29" s="55"/>
      <c r="RO29" s="55"/>
      <c r="RP29" s="55"/>
      <c r="RQ29" s="55"/>
      <c r="RR29" s="55"/>
      <c r="RS29" s="55"/>
      <c r="RT29" s="55"/>
      <c r="RU29" s="55"/>
      <c r="RV29" s="55"/>
      <c r="RW29" s="55"/>
      <c r="RX29" s="55"/>
      <c r="RY29" s="55"/>
      <c r="RZ29" s="55"/>
      <c r="SA29" s="55"/>
      <c r="SB29" s="55"/>
      <c r="SC29" s="55"/>
      <c r="SD29" s="55"/>
      <c r="SE29" s="55"/>
      <c r="SF29" s="55"/>
      <c r="SG29" s="55"/>
      <c r="SH29" s="55"/>
      <c r="SI29" s="55"/>
      <c r="SJ29" s="55"/>
      <c r="SK29" s="55"/>
      <c r="SL29" s="55"/>
      <c r="SM29" s="55"/>
      <c r="SN29" s="55"/>
      <c r="SO29" s="55"/>
      <c r="SP29" s="55"/>
      <c r="SQ29" s="55"/>
      <c r="SR29" s="55"/>
      <c r="SS29" s="55"/>
      <c r="ST29" s="55"/>
      <c r="SU29" s="55"/>
      <c r="SV29" s="55"/>
      <c r="SW29" s="55"/>
      <c r="SX29" s="55"/>
      <c r="SY29" s="55"/>
      <c r="SZ29" s="55"/>
      <c r="TA29" s="55"/>
      <c r="TB29" s="55"/>
      <c r="TC29" s="55"/>
      <c r="TD29" s="55"/>
      <c r="TE29" s="55"/>
      <c r="TF29" s="55"/>
      <c r="TG29" s="55"/>
      <c r="TH29" s="55"/>
      <c r="TI29" s="55"/>
      <c r="TJ29" s="55"/>
      <c r="TK29" s="55"/>
      <c r="TL29" s="55"/>
      <c r="TM29" s="55"/>
      <c r="TN29" s="55"/>
      <c r="TO29" s="55"/>
      <c r="TP29" s="55"/>
      <c r="TQ29" s="55"/>
      <c r="TR29" s="55"/>
      <c r="TS29" s="55"/>
      <c r="TT29" s="55"/>
      <c r="TU29" s="55"/>
      <c r="TV29" s="55"/>
      <c r="TW29" s="55"/>
      <c r="TX29" s="55"/>
      <c r="TY29" s="55"/>
      <c r="TZ29" s="55"/>
      <c r="UA29" s="55"/>
      <c r="UB29" s="55"/>
      <c r="UC29" s="55"/>
      <c r="UD29" s="55"/>
      <c r="UE29" s="55"/>
      <c r="UF29" s="55"/>
      <c r="UG29" s="55"/>
      <c r="UH29" s="55"/>
      <c r="UI29" s="55"/>
      <c r="UJ29" s="55"/>
      <c r="UK29" s="55"/>
      <c r="UL29" s="55"/>
      <c r="UM29" s="55"/>
      <c r="UN29" s="55"/>
      <c r="UO29" s="55"/>
      <c r="UP29" s="55"/>
      <c r="UQ29" s="55"/>
      <c r="UR29" s="55"/>
      <c r="US29" s="55"/>
      <c r="UT29" s="55"/>
      <c r="UU29" s="55"/>
      <c r="UV29" s="55"/>
      <c r="UW29" s="55"/>
      <c r="UX29" s="55"/>
      <c r="UY29" s="55"/>
      <c r="UZ29" s="55"/>
      <c r="VA29" s="55"/>
      <c r="VB29" s="55"/>
      <c r="VC29" s="55"/>
      <c r="VD29" s="55"/>
      <c r="VE29" s="55"/>
      <c r="VF29" s="55"/>
      <c r="VG29" s="55"/>
      <c r="VH29" s="55"/>
      <c r="VI29" s="55"/>
      <c r="VJ29" s="55"/>
      <c r="VK29" s="55"/>
      <c r="VL29" s="55"/>
      <c r="VM29" s="55"/>
      <c r="VN29" s="55"/>
      <c r="VO29" s="55"/>
      <c r="VP29" s="55"/>
      <c r="VQ29" s="55"/>
      <c r="VR29" s="55"/>
      <c r="VS29" s="55"/>
      <c r="VT29" s="55"/>
      <c r="VU29" s="55"/>
      <c r="VV29" s="55"/>
      <c r="VW29" s="55"/>
      <c r="VX29" s="55"/>
      <c r="VY29" s="55"/>
      <c r="VZ29" s="55"/>
      <c r="WA29" s="55"/>
      <c r="WB29" s="55"/>
      <c r="WC29" s="55"/>
      <c r="WD29" s="55"/>
      <c r="WE29" s="55"/>
      <c r="WF29" s="55"/>
      <c r="WG29" s="55"/>
      <c r="WH29" s="55"/>
      <c r="WI29" s="55"/>
      <c r="WJ29" s="55"/>
      <c r="WK29" s="55"/>
      <c r="WL29" s="55"/>
      <c r="WM29" s="55"/>
      <c r="WN29" s="55"/>
      <c r="WO29" s="55"/>
      <c r="WP29" s="55"/>
      <c r="WQ29" s="55"/>
      <c r="WR29" s="55"/>
      <c r="WS29" s="55"/>
      <c r="WT29" s="55"/>
      <c r="WU29" s="55"/>
      <c r="WV29" s="55"/>
      <c r="WW29" s="55"/>
      <c r="WX29" s="55"/>
      <c r="WY29" s="55"/>
      <c r="WZ29" s="55"/>
      <c r="XA29" s="55"/>
      <c r="XB29" s="55"/>
      <c r="XC29" s="55"/>
      <c r="XD29" s="55"/>
      <c r="XE29" s="55"/>
      <c r="XF29" s="55"/>
      <c r="XG29" s="55"/>
      <c r="XH29" s="55"/>
      <c r="XI29" s="55"/>
      <c r="XJ29" s="55"/>
      <c r="XK29" s="55"/>
      <c r="XL29" s="55"/>
      <c r="XM29" s="55"/>
      <c r="XN29" s="55"/>
      <c r="XO29" s="55"/>
      <c r="XP29" s="55"/>
      <c r="XQ29" s="55"/>
      <c r="XR29" s="55"/>
      <c r="XS29" s="55"/>
      <c r="XT29" s="55"/>
      <c r="XU29" s="55"/>
      <c r="XV29" s="55"/>
      <c r="XW29" s="55"/>
      <c r="XX29" s="55"/>
      <c r="XY29" s="55"/>
      <c r="XZ29" s="55"/>
      <c r="YA29" s="55"/>
      <c r="YB29" s="55"/>
      <c r="YC29" s="55"/>
      <c r="YD29" s="55"/>
      <c r="YE29" s="55"/>
      <c r="YF29" s="55"/>
      <c r="YG29" s="55"/>
      <c r="YH29" s="55"/>
      <c r="YI29" s="55"/>
      <c r="YJ29" s="55"/>
      <c r="YK29" s="55"/>
      <c r="YL29" s="55"/>
      <c r="YM29" s="55"/>
      <c r="YN29" s="55"/>
      <c r="YO29" s="55"/>
      <c r="YP29" s="55"/>
      <c r="YQ29" s="55"/>
      <c r="YR29" s="55"/>
      <c r="YS29" s="55"/>
    </row>
    <row r="30" spans="1:669" s="2" customFormat="1" ht="15" hidden="1" customHeight="1" x14ac:dyDescent="0.2">
      <c r="A30" s="712" t="s">
        <v>535</v>
      </c>
      <c r="B30" s="717" t="s">
        <v>386</v>
      </c>
      <c r="C30" s="754" t="s">
        <v>21</v>
      </c>
      <c r="D30" s="625">
        <v>44927</v>
      </c>
      <c r="E30" s="626">
        <v>45016</v>
      </c>
      <c r="F30" s="764"/>
      <c r="G30" s="766"/>
      <c r="H30" s="768"/>
      <c r="I30" s="766"/>
      <c r="J30" s="768"/>
      <c r="K30" s="255"/>
      <c r="L30" s="205"/>
      <c r="M30" s="232"/>
      <c r="N30" s="21"/>
      <c r="O30" s="21"/>
      <c r="P30" s="21"/>
      <c r="Q30" s="21"/>
      <c r="R30" s="21"/>
      <c r="S30" s="21"/>
      <c r="T30" s="21"/>
      <c r="U30" s="21"/>
      <c r="V30" s="21"/>
      <c r="W30" s="21"/>
      <c r="X30" s="21"/>
      <c r="Y30" s="21"/>
      <c r="Z30" s="21"/>
      <c r="AA30" s="21"/>
      <c r="AB30" s="7"/>
      <c r="AC30" s="7"/>
      <c r="AD30" s="7"/>
      <c r="AE30" s="7"/>
      <c r="AF30" s="7"/>
      <c r="AG30" s="7"/>
      <c r="AH30" s="7"/>
      <c r="AI30" s="7"/>
      <c r="AJ30" s="7"/>
      <c r="AK30" s="7"/>
      <c r="AL30" s="7"/>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row>
    <row r="31" spans="1:669" s="2" customFormat="1" ht="15" hidden="1" x14ac:dyDescent="0.25">
      <c r="A31" s="707" t="s">
        <v>451</v>
      </c>
      <c r="B31" s="499" t="s">
        <v>304</v>
      </c>
      <c r="C31" s="241" t="s">
        <v>21</v>
      </c>
      <c r="D31" s="4">
        <v>44927</v>
      </c>
      <c r="E31" s="240">
        <v>45291</v>
      </c>
      <c r="F31" s="608">
        <v>18000</v>
      </c>
      <c r="G31" s="243">
        <f>I31-H31</f>
        <v>-6000</v>
      </c>
      <c r="H31" s="608">
        <f>'April''24 AR Aging '!G40</f>
        <v>6000</v>
      </c>
      <c r="I31" s="243"/>
      <c r="J31" s="608"/>
      <c r="K31" s="243"/>
      <c r="L31" s="567"/>
      <c r="M31" s="232"/>
      <c r="N31" s="21"/>
      <c r="O31" s="21"/>
      <c r="P31" s="21"/>
      <c r="Q31" s="21"/>
      <c r="R31" s="21"/>
      <c r="S31" s="21"/>
      <c r="T31" s="21"/>
      <c r="U31" s="21"/>
      <c r="V31" s="21"/>
      <c r="W31" s="21"/>
      <c r="X31" s="21"/>
      <c r="Y31" s="21"/>
      <c r="Z31" s="21"/>
      <c r="AA31" s="21"/>
      <c r="AB31" s="7"/>
      <c r="AC31" s="7"/>
      <c r="AD31" s="7"/>
      <c r="AE31" s="7"/>
      <c r="AF31" s="7"/>
      <c r="AG31" s="7"/>
      <c r="AH31" s="7"/>
      <c r="AI31" s="7"/>
      <c r="AJ31" s="7"/>
      <c r="AK31" s="7"/>
      <c r="AL31" s="7"/>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row>
    <row r="32" spans="1:669" s="2" customFormat="1" ht="15" x14ac:dyDescent="0.25">
      <c r="A32" s="708" t="s">
        <v>451</v>
      </c>
      <c r="B32" s="714" t="s">
        <v>304</v>
      </c>
      <c r="C32" s="751" t="s">
        <v>21</v>
      </c>
      <c r="D32" s="621">
        <v>45292</v>
      </c>
      <c r="E32" s="459">
        <v>45657</v>
      </c>
      <c r="F32" s="760">
        <v>18000</v>
      </c>
      <c r="G32" s="255">
        <f>I32-H32</f>
        <v>0</v>
      </c>
      <c r="H32" s="760">
        <f>'April''24 AR Aging '!G40</f>
        <v>6000</v>
      </c>
      <c r="I32" s="255">
        <f>H32</f>
        <v>6000</v>
      </c>
      <c r="J32" s="760">
        <f>F32-I32</f>
        <v>12000</v>
      </c>
      <c r="K32" s="255"/>
      <c r="L32" s="205"/>
      <c r="M32" s="232"/>
      <c r="N32" s="21"/>
      <c r="O32" s="21"/>
      <c r="P32" s="21"/>
      <c r="Q32" s="21"/>
      <c r="R32" s="21"/>
      <c r="S32" s="21"/>
      <c r="T32" s="21"/>
      <c r="U32" s="21"/>
      <c r="V32" s="21"/>
      <c r="W32" s="21"/>
      <c r="X32" s="21"/>
      <c r="Y32" s="21"/>
      <c r="Z32" s="21"/>
      <c r="AA32" s="21"/>
      <c r="AB32" s="7"/>
      <c r="AC32" s="7"/>
      <c r="AD32" s="7"/>
      <c r="AE32" s="7"/>
      <c r="AF32" s="7"/>
      <c r="AG32" s="7"/>
      <c r="AH32" s="7"/>
      <c r="AI32" s="7"/>
      <c r="AJ32" s="7"/>
      <c r="AK32" s="7"/>
      <c r="AL32" s="7"/>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row>
    <row r="33" spans="1:669" s="2" customFormat="1" x14ac:dyDescent="0.2">
      <c r="A33" s="708" t="s">
        <v>642</v>
      </c>
      <c r="B33" s="714" t="s">
        <v>386</v>
      </c>
      <c r="C33" s="751" t="s">
        <v>442</v>
      </c>
      <c r="D33" s="621">
        <v>45292</v>
      </c>
      <c r="E33" s="459">
        <v>45657</v>
      </c>
      <c r="F33" s="760">
        <v>5000</v>
      </c>
      <c r="G33" s="255">
        <f>I33-H33</f>
        <v>0</v>
      </c>
      <c r="H33" s="760">
        <f>'April''24 AR Aging '!G71</f>
        <v>1250</v>
      </c>
      <c r="I33" s="781">
        <f>'April''24 AR Aging '!G71</f>
        <v>1250</v>
      </c>
      <c r="J33" s="760"/>
      <c r="K33" s="255"/>
      <c r="L33" s="205"/>
      <c r="M33" s="232"/>
      <c r="N33" s="21"/>
      <c r="O33" s="21"/>
      <c r="P33" s="21"/>
      <c r="Q33" s="21"/>
      <c r="R33" s="21"/>
      <c r="S33" s="21"/>
      <c r="T33" s="21"/>
      <c r="U33" s="21"/>
      <c r="V33" s="21"/>
      <c r="W33" s="21"/>
      <c r="X33" s="21"/>
      <c r="Y33" s="21"/>
      <c r="Z33" s="21"/>
      <c r="AA33" s="21"/>
      <c r="AB33" s="7"/>
      <c r="AC33" s="7"/>
      <c r="AD33" s="7"/>
      <c r="AE33" s="7"/>
      <c r="AF33" s="7"/>
      <c r="AG33" s="7"/>
      <c r="AH33" s="7"/>
      <c r="AI33" s="7"/>
      <c r="AJ33" s="7"/>
      <c r="AK33" s="7"/>
      <c r="AL33" s="7"/>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row>
    <row r="34" spans="1:669" s="2" customFormat="1" hidden="1" x14ac:dyDescent="0.2">
      <c r="A34" s="707" t="s">
        <v>424</v>
      </c>
      <c r="B34" s="236" t="s">
        <v>178</v>
      </c>
      <c r="C34" s="241" t="s">
        <v>442</v>
      </c>
      <c r="D34" s="4">
        <v>44083</v>
      </c>
      <c r="E34" s="240">
        <v>44435</v>
      </c>
      <c r="F34" s="749"/>
      <c r="G34" s="243"/>
      <c r="H34" s="608"/>
      <c r="I34" s="243"/>
      <c r="J34" s="608"/>
      <c r="K34" s="243"/>
      <c r="L34" s="205"/>
      <c r="M34" s="232"/>
      <c r="N34" s="21"/>
      <c r="O34" s="21"/>
      <c r="P34" s="21"/>
      <c r="Q34" s="21"/>
      <c r="R34" s="21"/>
      <c r="S34" s="21"/>
      <c r="T34" s="21"/>
      <c r="U34" s="21"/>
      <c r="V34" s="21"/>
      <c r="W34" s="21"/>
      <c r="X34" s="21"/>
      <c r="Y34" s="21"/>
      <c r="Z34" s="21"/>
      <c r="AA34" s="21"/>
      <c r="AB34" s="7"/>
      <c r="AC34" s="7"/>
      <c r="AD34" s="7"/>
      <c r="AE34" s="7"/>
      <c r="AF34" s="7"/>
      <c r="AG34" s="7"/>
      <c r="AH34" s="7"/>
      <c r="AI34" s="7"/>
      <c r="AJ34" s="7"/>
      <c r="AK34" s="7"/>
      <c r="AL34" s="7"/>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row>
    <row r="35" spans="1:669" s="2" customFormat="1" ht="15" thickBot="1" x14ac:dyDescent="0.25">
      <c r="A35" s="713" t="s">
        <v>469</v>
      </c>
      <c r="B35" s="237" t="s">
        <v>178</v>
      </c>
      <c r="C35" s="755" t="s">
        <v>442</v>
      </c>
      <c r="D35" s="614">
        <v>45145</v>
      </c>
      <c r="E35" s="320">
        <v>45513</v>
      </c>
      <c r="F35" s="765">
        <v>71511</v>
      </c>
      <c r="G35" s="244">
        <f>I35-H35</f>
        <v>25598.29</v>
      </c>
      <c r="H35" s="769">
        <f>'April''24 AR Aging '!G60</f>
        <v>1355.12</v>
      </c>
      <c r="I35" s="244">
        <v>26953.41</v>
      </c>
      <c r="J35" s="769">
        <f>F35-I35</f>
        <v>44557.59</v>
      </c>
      <c r="K35" s="244"/>
      <c r="L35" s="205"/>
      <c r="M35" s="232"/>
      <c r="N35" s="21"/>
      <c r="O35" s="21"/>
      <c r="P35" s="21"/>
      <c r="Q35" s="21"/>
      <c r="R35" s="21"/>
      <c r="S35" s="21"/>
      <c r="T35" s="21"/>
      <c r="U35" s="21"/>
      <c r="V35" s="21"/>
      <c r="W35" s="21"/>
      <c r="X35" s="21"/>
      <c r="Y35" s="21"/>
      <c r="Z35" s="21"/>
      <c r="AA35" s="21"/>
      <c r="AB35" s="7"/>
      <c r="AC35" s="7"/>
      <c r="AD35" s="7"/>
      <c r="AE35" s="7"/>
      <c r="AF35" s="7"/>
      <c r="AG35" s="7"/>
      <c r="AH35" s="7"/>
      <c r="AI35" s="7"/>
      <c r="AJ35" s="7"/>
      <c r="AK35" s="7"/>
      <c r="AL35" s="7"/>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row>
    <row r="36" spans="1:669" s="12" customFormat="1" ht="16.5" thickBot="1" x14ac:dyDescent="0.3">
      <c r="A36" s="213" t="s">
        <v>33</v>
      </c>
      <c r="B36" s="214"/>
      <c r="C36" s="215"/>
      <c r="D36" s="216"/>
      <c r="E36" s="216"/>
      <c r="F36" s="234"/>
      <c r="G36" s="743">
        <f>SUM(G9:G35)</f>
        <v>304141.05999999994</v>
      </c>
      <c r="H36" s="234">
        <f>SUM(H7:H35)</f>
        <v>217497.16999999998</v>
      </c>
      <c r="I36" s="234">
        <f>SUM(I9:I35)</f>
        <v>663111.97000000009</v>
      </c>
      <c r="J36" s="234">
        <f>SUM(J9:J35)</f>
        <v>450571.93999999994</v>
      </c>
      <c r="K36" s="234">
        <f>SUM(K9:K35)</f>
        <v>0</v>
      </c>
      <c r="L36" s="37"/>
      <c r="M36" s="28"/>
      <c r="N36" s="28"/>
      <c r="O36" s="28"/>
      <c r="P36" s="28"/>
      <c r="Q36" s="28"/>
      <c r="R36" s="28"/>
      <c r="S36" s="28"/>
      <c r="T36" s="28"/>
      <c r="U36" s="28"/>
      <c r="V36" s="28"/>
      <c r="W36" s="28"/>
      <c r="X36" s="28"/>
      <c r="Y36" s="28"/>
      <c r="Z36" s="28"/>
      <c r="AA36" s="28"/>
      <c r="AB36" s="29"/>
      <c r="AC36" s="29"/>
      <c r="AD36" s="29"/>
      <c r="AE36" s="29"/>
      <c r="AF36" s="29"/>
      <c r="AG36" s="29"/>
      <c r="AH36" s="29"/>
      <c r="AI36" s="29"/>
      <c r="AJ36" s="29"/>
      <c r="AK36" s="29"/>
      <c r="AL36" s="29"/>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30"/>
      <c r="IZ36" s="30"/>
      <c r="JA36" s="30"/>
      <c r="JB36" s="30"/>
      <c r="JC36" s="30"/>
      <c r="JD36" s="30"/>
      <c r="JE36" s="30"/>
      <c r="JF36" s="30"/>
      <c r="JG36" s="30"/>
      <c r="JH36" s="30"/>
      <c r="JI36" s="30"/>
      <c r="JJ36" s="30"/>
      <c r="JK36" s="30"/>
      <c r="JL36" s="30"/>
      <c r="JM36" s="30"/>
      <c r="JN36" s="30"/>
      <c r="JO36" s="30"/>
      <c r="JP36" s="30"/>
      <c r="JQ36" s="30"/>
      <c r="JR36" s="30"/>
      <c r="JS36" s="30"/>
      <c r="JT36" s="30"/>
      <c r="JU36" s="30"/>
      <c r="JV36" s="30"/>
      <c r="JW36" s="30"/>
      <c r="JX36" s="30"/>
      <c r="JY36" s="30"/>
      <c r="JZ36" s="30"/>
      <c r="KA36" s="30"/>
      <c r="KB36" s="30"/>
      <c r="KC36" s="30"/>
      <c r="KD36" s="30"/>
      <c r="KE36" s="30"/>
      <c r="KF36" s="30"/>
      <c r="KG36" s="30"/>
      <c r="KH36" s="30"/>
      <c r="KI36" s="30"/>
      <c r="KJ36" s="30"/>
      <c r="KK36" s="30"/>
      <c r="KL36" s="30"/>
      <c r="KM36" s="30"/>
      <c r="KN36" s="30"/>
      <c r="KO36" s="30"/>
      <c r="KP36" s="30"/>
      <c r="KQ36" s="30"/>
      <c r="KR36" s="30"/>
      <c r="KS36" s="30"/>
      <c r="KT36" s="30"/>
      <c r="KU36" s="30"/>
      <c r="KV36" s="30"/>
      <c r="KW36" s="30"/>
      <c r="KX36" s="30"/>
      <c r="KY36" s="30"/>
      <c r="KZ36" s="30"/>
      <c r="LA36" s="30"/>
      <c r="LB36" s="30"/>
      <c r="LC36" s="30"/>
      <c r="LD36" s="30"/>
      <c r="LE36" s="30"/>
      <c r="LF36" s="30"/>
      <c r="LG36" s="30"/>
      <c r="LH36" s="30"/>
      <c r="LI36" s="30"/>
      <c r="LJ36" s="30"/>
      <c r="LK36" s="30"/>
      <c r="LL36" s="30"/>
      <c r="LM36" s="30"/>
      <c r="LN36" s="30"/>
      <c r="LO36" s="30"/>
      <c r="LP36" s="30"/>
      <c r="LQ36" s="30"/>
      <c r="LR36" s="30"/>
      <c r="LS36" s="30"/>
      <c r="LT36" s="30"/>
      <c r="LU36" s="30"/>
      <c r="LV36" s="30"/>
      <c r="LW36" s="30"/>
      <c r="LX36" s="30"/>
      <c r="LY36" s="30"/>
      <c r="LZ36" s="30"/>
      <c r="MA36" s="30"/>
      <c r="MB36" s="30"/>
      <c r="MC36" s="30"/>
      <c r="MD36" s="30"/>
      <c r="ME36" s="30"/>
      <c r="MF36" s="30"/>
      <c r="MG36" s="30"/>
      <c r="MH36" s="30"/>
      <c r="MI36" s="30"/>
      <c r="MJ36" s="30"/>
      <c r="MK36" s="30"/>
      <c r="ML36" s="30"/>
      <c r="MM36" s="30"/>
      <c r="MN36" s="30"/>
      <c r="MO36" s="30"/>
      <c r="MP36" s="30"/>
      <c r="MQ36" s="30"/>
      <c r="MR36" s="30"/>
      <c r="MS36" s="30"/>
      <c r="MT36" s="30"/>
      <c r="MU36" s="30"/>
      <c r="MV36" s="30"/>
      <c r="MW36" s="30"/>
      <c r="MX36" s="30"/>
      <c r="MY36" s="30"/>
      <c r="MZ36" s="30"/>
      <c r="NA36" s="30"/>
      <c r="NB36" s="30"/>
      <c r="NC36" s="30"/>
      <c r="ND36" s="30"/>
      <c r="NE36" s="30"/>
      <c r="NF36" s="30"/>
      <c r="NG36" s="30"/>
      <c r="NH36" s="30"/>
      <c r="NI36" s="30"/>
      <c r="NJ36" s="30"/>
      <c r="NK36" s="30"/>
      <c r="NL36" s="30"/>
      <c r="NM36" s="30"/>
      <c r="NN36" s="30"/>
      <c r="NO36" s="30"/>
      <c r="NP36" s="30"/>
      <c r="NQ36" s="30"/>
      <c r="NR36" s="30"/>
      <c r="NS36" s="30"/>
      <c r="NT36" s="30"/>
      <c r="NU36" s="30"/>
      <c r="NV36" s="30"/>
      <c r="NW36" s="30"/>
      <c r="NX36" s="30"/>
      <c r="NY36" s="30"/>
      <c r="NZ36" s="30"/>
      <c r="OA36" s="30"/>
      <c r="OB36" s="30"/>
      <c r="OC36" s="30"/>
      <c r="OD36" s="30"/>
      <c r="OE36" s="30"/>
      <c r="OF36" s="30"/>
      <c r="OG36" s="30"/>
      <c r="OH36" s="30"/>
      <c r="OI36" s="30"/>
      <c r="OJ36" s="30"/>
      <c r="OK36" s="30"/>
      <c r="OL36" s="30"/>
      <c r="OM36" s="30"/>
      <c r="ON36" s="30"/>
      <c r="OO36" s="30"/>
      <c r="OP36" s="30"/>
      <c r="OQ36" s="30"/>
      <c r="OR36" s="30"/>
      <c r="OS36" s="30"/>
      <c r="OT36" s="30"/>
      <c r="OU36" s="30"/>
      <c r="OV36" s="30"/>
      <c r="OW36" s="30"/>
      <c r="OX36" s="30"/>
      <c r="OY36" s="30"/>
      <c r="OZ36" s="30"/>
      <c r="PA36" s="30"/>
      <c r="PB36" s="30"/>
      <c r="PC36" s="30"/>
      <c r="PD36" s="30"/>
      <c r="PE36" s="30"/>
      <c r="PF36" s="30"/>
      <c r="PG36" s="30"/>
      <c r="PH36" s="30"/>
      <c r="PI36" s="30"/>
      <c r="PJ36" s="30"/>
      <c r="PK36" s="30"/>
      <c r="PL36" s="30"/>
      <c r="PM36" s="30"/>
      <c r="PN36" s="30"/>
      <c r="PO36" s="30"/>
      <c r="PP36" s="30"/>
      <c r="PQ36" s="30"/>
      <c r="PR36" s="30"/>
      <c r="PS36" s="30"/>
      <c r="PT36" s="30"/>
      <c r="PU36" s="30"/>
      <c r="PV36" s="30"/>
      <c r="PW36" s="30"/>
      <c r="PX36" s="30"/>
      <c r="PY36" s="30"/>
      <c r="PZ36" s="30"/>
      <c r="QA36" s="30"/>
      <c r="QB36" s="30"/>
      <c r="QC36" s="30"/>
      <c r="QD36" s="30"/>
      <c r="QE36" s="30"/>
      <c r="QF36" s="30"/>
      <c r="QG36" s="30"/>
      <c r="QH36" s="30"/>
      <c r="QI36" s="30"/>
      <c r="QJ36" s="30"/>
      <c r="QK36" s="30"/>
      <c r="QL36" s="30"/>
      <c r="QM36" s="30"/>
      <c r="QN36" s="30"/>
      <c r="QO36" s="30"/>
      <c r="QP36" s="30"/>
      <c r="QQ36" s="30"/>
      <c r="QR36" s="30"/>
      <c r="QS36" s="30"/>
      <c r="QT36" s="30"/>
      <c r="QU36" s="30"/>
      <c r="QV36" s="30"/>
      <c r="QW36" s="30"/>
      <c r="QX36" s="30"/>
      <c r="QY36" s="30"/>
      <c r="QZ36" s="30"/>
      <c r="RA36" s="30"/>
      <c r="RB36" s="30"/>
      <c r="RC36" s="30"/>
      <c r="RD36" s="30"/>
      <c r="RE36" s="30"/>
      <c r="RF36" s="30"/>
      <c r="RG36" s="30"/>
      <c r="RH36" s="30"/>
      <c r="RI36" s="30"/>
      <c r="RJ36" s="30"/>
      <c r="RK36" s="30"/>
      <c r="RL36" s="30"/>
      <c r="RM36" s="30"/>
      <c r="RN36" s="30"/>
      <c r="RO36" s="30"/>
      <c r="RP36" s="30"/>
      <c r="RQ36" s="30"/>
      <c r="RR36" s="30"/>
      <c r="RS36" s="30"/>
      <c r="RT36" s="30"/>
      <c r="RU36" s="30"/>
      <c r="RV36" s="30"/>
      <c r="RW36" s="30"/>
      <c r="RX36" s="30"/>
      <c r="RY36" s="30"/>
      <c r="RZ36" s="30"/>
      <c r="SA36" s="30"/>
      <c r="SB36" s="30"/>
      <c r="SC36" s="30"/>
      <c r="SD36" s="30"/>
      <c r="SE36" s="30"/>
      <c r="SF36" s="30"/>
      <c r="SG36" s="30"/>
      <c r="SH36" s="30"/>
      <c r="SI36" s="30"/>
      <c r="SJ36" s="30"/>
      <c r="SK36" s="30"/>
      <c r="SL36" s="30"/>
      <c r="SM36" s="30"/>
      <c r="SN36" s="30"/>
      <c r="SO36" s="30"/>
      <c r="SP36" s="30"/>
      <c r="SQ36" s="30"/>
      <c r="SR36" s="30"/>
      <c r="SS36" s="30"/>
      <c r="ST36" s="30"/>
      <c r="SU36" s="30"/>
      <c r="SV36" s="30"/>
      <c r="SW36" s="30"/>
      <c r="SX36" s="30"/>
      <c r="SY36" s="30"/>
      <c r="SZ36" s="30"/>
      <c r="TA36" s="30"/>
      <c r="TB36" s="30"/>
      <c r="TC36" s="30"/>
      <c r="TD36" s="30"/>
      <c r="TE36" s="30"/>
      <c r="TF36" s="30"/>
      <c r="TG36" s="30"/>
      <c r="TH36" s="30"/>
      <c r="TI36" s="30"/>
      <c r="TJ36" s="30"/>
      <c r="TK36" s="30"/>
      <c r="TL36" s="30"/>
      <c r="TM36" s="30"/>
      <c r="TN36" s="30"/>
      <c r="TO36" s="30"/>
      <c r="TP36" s="30"/>
      <c r="TQ36" s="30"/>
      <c r="TR36" s="30"/>
      <c r="TS36" s="30"/>
      <c r="TT36" s="30"/>
      <c r="TU36" s="30"/>
      <c r="TV36" s="30"/>
      <c r="TW36" s="30"/>
      <c r="TX36" s="30"/>
      <c r="TY36" s="30"/>
      <c r="TZ36" s="30"/>
      <c r="UA36" s="30"/>
      <c r="UB36" s="30"/>
      <c r="UC36" s="30"/>
      <c r="UD36" s="30"/>
      <c r="UE36" s="30"/>
      <c r="UF36" s="30"/>
      <c r="UG36" s="30"/>
      <c r="UH36" s="30"/>
      <c r="UI36" s="30"/>
      <c r="UJ36" s="30"/>
      <c r="UK36" s="30"/>
      <c r="UL36" s="30"/>
      <c r="UM36" s="30"/>
      <c r="UN36" s="30"/>
      <c r="UO36" s="30"/>
      <c r="UP36" s="30"/>
      <c r="UQ36" s="30"/>
      <c r="UR36" s="30"/>
      <c r="US36" s="30"/>
      <c r="UT36" s="30"/>
      <c r="UU36" s="30"/>
      <c r="UV36" s="30"/>
      <c r="UW36" s="30"/>
      <c r="UX36" s="30"/>
      <c r="UY36" s="30"/>
      <c r="UZ36" s="30"/>
      <c r="VA36" s="30"/>
      <c r="VB36" s="30"/>
      <c r="VC36" s="30"/>
      <c r="VD36" s="30"/>
      <c r="VE36" s="30"/>
      <c r="VF36" s="30"/>
      <c r="VG36" s="30"/>
      <c r="VH36" s="30"/>
      <c r="VI36" s="30"/>
      <c r="VJ36" s="30"/>
      <c r="VK36" s="30"/>
      <c r="VL36" s="30"/>
      <c r="VM36" s="30"/>
      <c r="VN36" s="30"/>
      <c r="VO36" s="30"/>
      <c r="VP36" s="30"/>
      <c r="VQ36" s="30"/>
      <c r="VR36" s="30"/>
      <c r="VS36" s="30"/>
      <c r="VT36" s="30"/>
      <c r="VU36" s="30"/>
      <c r="VV36" s="30"/>
      <c r="VW36" s="30"/>
      <c r="VX36" s="30"/>
      <c r="VY36" s="30"/>
      <c r="VZ36" s="30"/>
      <c r="WA36" s="30"/>
      <c r="WB36" s="30"/>
      <c r="WC36" s="30"/>
      <c r="WD36" s="30"/>
      <c r="WE36" s="30"/>
      <c r="WF36" s="30"/>
      <c r="WG36" s="30"/>
      <c r="WH36" s="30"/>
      <c r="WI36" s="30"/>
      <c r="WJ36" s="30"/>
      <c r="WK36" s="30"/>
      <c r="WL36" s="30"/>
      <c r="WM36" s="30"/>
      <c r="WN36" s="30"/>
      <c r="WO36" s="30"/>
      <c r="WP36" s="30"/>
      <c r="WQ36" s="30"/>
      <c r="WR36" s="30"/>
      <c r="WS36" s="30"/>
      <c r="WT36" s="30"/>
      <c r="WU36" s="30"/>
      <c r="WV36" s="30"/>
      <c r="WW36" s="30"/>
      <c r="WX36" s="30"/>
      <c r="WY36" s="30"/>
      <c r="WZ36" s="30"/>
      <c r="XA36" s="30"/>
      <c r="XB36" s="30"/>
      <c r="XC36" s="30"/>
      <c r="XD36" s="30"/>
      <c r="XE36" s="30"/>
      <c r="XF36" s="30"/>
      <c r="XG36" s="30"/>
      <c r="XH36" s="30"/>
      <c r="XI36" s="30"/>
      <c r="XJ36" s="30"/>
      <c r="XK36" s="30"/>
      <c r="XL36" s="30"/>
      <c r="XM36" s="30"/>
      <c r="XN36" s="30"/>
      <c r="XO36" s="30"/>
      <c r="XP36" s="30"/>
      <c r="XQ36" s="30"/>
      <c r="XR36" s="30"/>
      <c r="XS36" s="30"/>
      <c r="XT36" s="30"/>
      <c r="XU36" s="30"/>
      <c r="XV36" s="30"/>
      <c r="XW36" s="30"/>
      <c r="XX36" s="30"/>
      <c r="XY36" s="30"/>
      <c r="XZ36" s="30"/>
      <c r="YA36" s="30"/>
      <c r="YB36" s="30"/>
      <c r="YC36" s="30"/>
      <c r="YD36" s="30"/>
      <c r="YE36" s="30"/>
      <c r="YF36" s="30"/>
      <c r="YG36" s="30"/>
      <c r="YH36" s="30"/>
      <c r="YI36" s="30"/>
      <c r="YJ36" s="30"/>
      <c r="YK36" s="30"/>
      <c r="YL36" s="30"/>
      <c r="YM36" s="30"/>
      <c r="YN36" s="30"/>
      <c r="YO36" s="30"/>
      <c r="YP36" s="30"/>
      <c r="YQ36" s="30"/>
      <c r="YR36" s="30"/>
      <c r="YS36" s="30"/>
    </row>
    <row r="37" spans="1:669" x14ac:dyDescent="0.2">
      <c r="A37" s="619"/>
      <c r="B37" s="619"/>
      <c r="C37" s="13"/>
      <c r="D37" s="619"/>
      <c r="E37" s="233"/>
      <c r="H37"/>
    </row>
    <row r="38" spans="1:669" ht="10.5" customHeight="1" thickBot="1" x14ac:dyDescent="0.25">
      <c r="B38" s="34"/>
    </row>
    <row r="39" spans="1:669" s="16" customFormat="1" ht="16.5" thickBot="1" x14ac:dyDescent="0.3">
      <c r="A39" s="247" t="s">
        <v>35</v>
      </c>
      <c r="B39" s="123"/>
      <c r="C39" s="124"/>
      <c r="D39" s="124"/>
      <c r="E39" s="124"/>
      <c r="F39" s="125"/>
      <c r="G39" s="125"/>
      <c r="H39" s="125"/>
      <c r="I39" s="125"/>
      <c r="J39" s="125"/>
      <c r="K39" s="126"/>
      <c r="L39" s="21"/>
      <c r="M39" s="21"/>
      <c r="N39" s="21"/>
      <c r="O39" s="21"/>
      <c r="P39" s="21"/>
      <c r="Q39" s="21"/>
      <c r="R39" s="21"/>
      <c r="S39" s="21"/>
      <c r="T39" s="21"/>
      <c r="U39" s="21"/>
      <c r="V39" s="21"/>
      <c r="W39" s="21"/>
      <c r="X39" s="21"/>
      <c r="Y39" s="21"/>
      <c r="Z39" s="21"/>
      <c r="AA39" s="21"/>
      <c r="AB39" s="7"/>
      <c r="AC39" s="7"/>
      <c r="AD39" s="7"/>
      <c r="AE39" s="7"/>
      <c r="AF39" s="7"/>
      <c r="AG39" s="7"/>
      <c r="AH39" s="7"/>
      <c r="AI39" s="7"/>
      <c r="AJ39" s="7"/>
      <c r="AK39" s="7"/>
      <c r="AL39" s="7"/>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row>
    <row r="40" spans="1:669" s="14" customFormat="1" ht="45.75" thickBot="1" x14ac:dyDescent="0.25">
      <c r="A40" s="263" t="s">
        <v>22</v>
      </c>
      <c r="B40" s="827" t="s">
        <v>12</v>
      </c>
      <c r="C40" s="828"/>
      <c r="D40" s="263" t="s">
        <v>2</v>
      </c>
      <c r="E40" s="702" t="s">
        <v>3</v>
      </c>
      <c r="F40" s="268" t="s">
        <v>23</v>
      </c>
      <c r="G40" s="268" t="s">
        <v>636</v>
      </c>
      <c r="H40" s="268" t="s">
        <v>162</v>
      </c>
      <c r="I40" s="268" t="s">
        <v>19</v>
      </c>
      <c r="J40" s="268" t="s">
        <v>329</v>
      </c>
      <c r="K40" s="268" t="s">
        <v>4</v>
      </c>
      <c r="L40" s="26"/>
      <c r="M40" s="26"/>
      <c r="N40" s="26"/>
      <c r="O40" s="26"/>
      <c r="P40" s="26"/>
      <c r="Q40" s="26"/>
      <c r="R40" s="26"/>
      <c r="S40" s="26"/>
      <c r="T40" s="26"/>
      <c r="U40" s="3"/>
      <c r="V40" s="26"/>
      <c r="W40" s="26"/>
      <c r="X40" s="26"/>
      <c r="Y40" s="26"/>
      <c r="Z40" s="26"/>
      <c r="AA40" s="26"/>
      <c r="AB40" s="27"/>
      <c r="AC40" s="27"/>
      <c r="AD40" s="27"/>
      <c r="AE40" s="27"/>
      <c r="AF40" s="27"/>
      <c r="AG40" s="27"/>
      <c r="AH40" s="27"/>
      <c r="AI40" s="27"/>
      <c r="AJ40" s="27"/>
      <c r="AK40" s="27"/>
      <c r="AL40" s="27"/>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row>
    <row r="41" spans="1:669" hidden="1" x14ac:dyDescent="0.2">
      <c r="A41" s="236" t="s">
        <v>15</v>
      </c>
      <c r="B41" s="833" t="s">
        <v>11</v>
      </c>
      <c r="C41" s="834"/>
      <c r="D41" s="240">
        <v>41275</v>
      </c>
      <c r="E41" s="718">
        <v>41639</v>
      </c>
      <c r="F41" s="243"/>
      <c r="G41" s="243">
        <v>0</v>
      </c>
      <c r="H41" s="243"/>
      <c r="I41" s="243">
        <f>F41-H41</f>
        <v>0</v>
      </c>
      <c r="J41" s="243">
        <v>0</v>
      </c>
      <c r="K41" s="243">
        <f t="shared" ref="K41:K42" si="0">I41</f>
        <v>0</v>
      </c>
    </row>
    <row r="42" spans="1:669" hidden="1" x14ac:dyDescent="0.2">
      <c r="A42" s="236" t="s">
        <v>261</v>
      </c>
      <c r="B42" s="833" t="s">
        <v>11</v>
      </c>
      <c r="C42" s="834"/>
      <c r="D42" s="240">
        <v>42736</v>
      </c>
      <c r="E42" s="718">
        <v>43100</v>
      </c>
      <c r="F42" s="243"/>
      <c r="G42" s="243">
        <v>0</v>
      </c>
      <c r="H42" s="243">
        <v>25000</v>
      </c>
      <c r="I42" s="243">
        <f>25000-H42</f>
        <v>0</v>
      </c>
      <c r="J42" s="243"/>
      <c r="K42" s="319">
        <f t="shared" si="0"/>
        <v>0</v>
      </c>
    </row>
    <row r="43" spans="1:669" hidden="1" x14ac:dyDescent="0.2">
      <c r="A43" s="236" t="s">
        <v>314</v>
      </c>
      <c r="B43" s="833" t="s">
        <v>11</v>
      </c>
      <c r="C43" s="834"/>
      <c r="D43" s="240">
        <v>43466</v>
      </c>
      <c r="E43" s="718">
        <v>43830</v>
      </c>
      <c r="F43" s="243"/>
      <c r="G43" s="243"/>
      <c r="H43" s="243"/>
      <c r="I43" s="243"/>
      <c r="J43" s="243"/>
      <c r="K43" s="573"/>
    </row>
    <row r="44" spans="1:669" ht="15" hidden="1" x14ac:dyDescent="0.25">
      <c r="A44" s="612" t="s">
        <v>396</v>
      </c>
      <c r="B44" s="837" t="s">
        <v>11</v>
      </c>
      <c r="C44" s="834"/>
      <c r="D44" s="613">
        <v>43831</v>
      </c>
      <c r="E44" s="4">
        <v>44196</v>
      </c>
      <c r="F44" s="589"/>
      <c r="G44" s="257"/>
      <c r="H44" s="589"/>
      <c r="I44" s="257">
        <f>F44-H44</f>
        <v>0</v>
      </c>
      <c r="J44" s="589"/>
      <c r="K44" s="617">
        <f>I44</f>
        <v>0</v>
      </c>
    </row>
    <row r="45" spans="1:669" hidden="1" x14ac:dyDescent="0.2">
      <c r="A45" s="236"/>
      <c r="B45" s="837"/>
      <c r="C45" s="834"/>
      <c r="D45" s="240"/>
      <c r="E45" s="4"/>
      <c r="F45" s="243"/>
      <c r="G45" s="257"/>
      <c r="H45" s="243"/>
      <c r="I45" s="257"/>
      <c r="J45" s="243"/>
      <c r="K45" s="256"/>
    </row>
    <row r="46" spans="1:669" hidden="1" x14ac:dyDescent="0.2">
      <c r="A46" s="236" t="s">
        <v>426</v>
      </c>
      <c r="B46" s="837" t="s">
        <v>11</v>
      </c>
      <c r="C46" s="834"/>
      <c r="D46" s="240">
        <v>44105</v>
      </c>
      <c r="E46" s="4" t="s">
        <v>398</v>
      </c>
      <c r="F46" s="243"/>
      <c r="G46" s="257"/>
      <c r="H46" s="243"/>
      <c r="I46" s="257"/>
      <c r="J46" s="243"/>
      <c r="K46" s="256"/>
    </row>
    <row r="47" spans="1:669" ht="15" hidden="1" x14ac:dyDescent="0.25">
      <c r="A47" s="236" t="s">
        <v>452</v>
      </c>
      <c r="B47" s="837" t="s">
        <v>11</v>
      </c>
      <c r="C47" s="834"/>
      <c r="D47" s="240">
        <v>44562</v>
      </c>
      <c r="E47" s="4">
        <v>44926</v>
      </c>
      <c r="F47" s="243"/>
      <c r="G47" s="257"/>
      <c r="H47" s="243"/>
      <c r="I47" s="257"/>
      <c r="J47" s="243"/>
      <c r="K47" s="256"/>
    </row>
    <row r="48" spans="1:669" ht="15" hidden="1" x14ac:dyDescent="0.25">
      <c r="A48" s="236" t="s">
        <v>536</v>
      </c>
      <c r="B48" s="837" t="s">
        <v>11</v>
      </c>
      <c r="C48" s="834"/>
      <c r="D48" s="240">
        <v>44927</v>
      </c>
      <c r="E48" s="4">
        <v>45291</v>
      </c>
      <c r="F48" s="243"/>
      <c r="G48" s="257"/>
      <c r="H48" s="243"/>
      <c r="I48" s="257"/>
      <c r="J48" s="243"/>
      <c r="K48" s="256"/>
    </row>
    <row r="49" spans="1:669" ht="15" x14ac:dyDescent="0.25">
      <c r="A49" s="236" t="s">
        <v>599</v>
      </c>
      <c r="B49" s="837" t="s">
        <v>11</v>
      </c>
      <c r="C49" s="834"/>
      <c r="D49" s="240">
        <v>45292</v>
      </c>
      <c r="E49" s="4">
        <v>45657</v>
      </c>
      <c r="F49" s="243">
        <v>25000</v>
      </c>
      <c r="G49" s="257">
        <v>25000</v>
      </c>
      <c r="H49" s="243">
        <v>8067.55</v>
      </c>
      <c r="I49" s="257">
        <f>F49-H49</f>
        <v>16932.45</v>
      </c>
      <c r="J49" s="243"/>
      <c r="K49" s="256">
        <f>I49</f>
        <v>16932.45</v>
      </c>
    </row>
    <row r="50" spans="1:669" hidden="1" x14ac:dyDescent="0.2">
      <c r="A50" s="236"/>
      <c r="B50" s="837"/>
      <c r="C50" s="834"/>
      <c r="D50" s="240"/>
      <c r="E50" s="4"/>
      <c r="F50" s="243"/>
      <c r="G50" s="257"/>
      <c r="H50" s="243"/>
      <c r="I50" s="257"/>
      <c r="J50" s="243"/>
      <c r="K50" s="256"/>
    </row>
    <row r="51" spans="1:669" hidden="1" x14ac:dyDescent="0.2">
      <c r="A51" s="236" t="s">
        <v>544</v>
      </c>
      <c r="B51" s="837" t="s">
        <v>11</v>
      </c>
      <c r="C51" s="834"/>
      <c r="D51" s="240">
        <v>44896</v>
      </c>
      <c r="E51" s="4">
        <v>45322</v>
      </c>
      <c r="F51" s="243"/>
      <c r="G51" s="257"/>
      <c r="H51" s="243"/>
      <c r="I51" s="257"/>
      <c r="J51" s="243"/>
      <c r="K51" s="256"/>
    </row>
    <row r="52" spans="1:669" x14ac:dyDescent="0.2">
      <c r="A52" s="236" t="s">
        <v>631</v>
      </c>
      <c r="B52" s="837" t="s">
        <v>11</v>
      </c>
      <c r="C52" s="834"/>
      <c r="D52" s="240">
        <v>45292</v>
      </c>
      <c r="E52" s="4">
        <v>45657</v>
      </c>
      <c r="F52" s="243">
        <v>7500</v>
      </c>
      <c r="G52" s="257">
        <v>7217.96</v>
      </c>
      <c r="H52" s="243">
        <v>2574.6</v>
      </c>
      <c r="I52" s="257">
        <f>G52-H52</f>
        <v>4643.3600000000006</v>
      </c>
      <c r="J52" s="243"/>
      <c r="K52" s="256">
        <f t="shared" ref="K52:K56" si="1">I52</f>
        <v>4643.3600000000006</v>
      </c>
    </row>
    <row r="53" spans="1:669" hidden="1" x14ac:dyDescent="0.2">
      <c r="A53" s="236" t="s">
        <v>470</v>
      </c>
      <c r="B53" s="837" t="s">
        <v>11</v>
      </c>
      <c r="C53" s="834"/>
      <c r="D53" s="240">
        <v>44743</v>
      </c>
      <c r="E53" s="4">
        <v>45107</v>
      </c>
      <c r="F53" s="243"/>
      <c r="G53" s="257"/>
      <c r="H53" s="243"/>
      <c r="I53" s="257"/>
      <c r="J53" s="243"/>
      <c r="K53" s="256"/>
    </row>
    <row r="54" spans="1:669" x14ac:dyDescent="0.2">
      <c r="A54" s="236" t="s">
        <v>470</v>
      </c>
      <c r="B54" s="837" t="s">
        <v>11</v>
      </c>
      <c r="C54" s="834"/>
      <c r="D54" s="240">
        <v>45108</v>
      </c>
      <c r="E54" s="4">
        <v>45473</v>
      </c>
      <c r="F54" s="243">
        <v>100000</v>
      </c>
      <c r="G54" s="257">
        <v>100000</v>
      </c>
      <c r="H54" s="243">
        <v>17237.41</v>
      </c>
      <c r="I54" s="257">
        <f>F54-H54</f>
        <v>82762.59</v>
      </c>
      <c r="J54" s="243"/>
      <c r="K54" s="256">
        <f t="shared" si="1"/>
        <v>82762.59</v>
      </c>
    </row>
    <row r="55" spans="1:669" hidden="1" x14ac:dyDescent="0.2">
      <c r="A55" s="236" t="s">
        <v>381</v>
      </c>
      <c r="B55" s="837" t="s">
        <v>17</v>
      </c>
      <c r="C55" s="834"/>
      <c r="D55" s="240">
        <v>44562</v>
      </c>
      <c r="E55" s="4">
        <v>45291</v>
      </c>
      <c r="F55" s="243"/>
      <c r="G55" s="257"/>
      <c r="H55" s="243"/>
      <c r="I55" s="257"/>
      <c r="J55" s="243"/>
      <c r="K55" s="256"/>
      <c r="U55"/>
    </row>
    <row r="56" spans="1:669" x14ac:dyDescent="0.2">
      <c r="A56" s="236" t="s">
        <v>602</v>
      </c>
      <c r="B56" s="837" t="s">
        <v>17</v>
      </c>
      <c r="C56" s="834"/>
      <c r="D56" s="240">
        <v>45292</v>
      </c>
      <c r="E56" s="4">
        <v>46387</v>
      </c>
      <c r="F56" s="243">
        <v>175000</v>
      </c>
      <c r="G56" s="257">
        <v>65000</v>
      </c>
      <c r="H56" s="243">
        <v>21666.68</v>
      </c>
      <c r="I56" s="257">
        <f>G56-H56</f>
        <v>43333.32</v>
      </c>
      <c r="J56" s="256"/>
      <c r="K56" s="319">
        <f t="shared" si="1"/>
        <v>43333.32</v>
      </c>
      <c r="U56"/>
    </row>
    <row r="57" spans="1:669" ht="15" hidden="1" x14ac:dyDescent="0.25">
      <c r="A57" s="236" t="s">
        <v>536</v>
      </c>
      <c r="B57" s="707" t="s">
        <v>397</v>
      </c>
      <c r="C57" s="619"/>
      <c r="D57" s="240">
        <v>44927</v>
      </c>
      <c r="E57" s="4">
        <v>45291</v>
      </c>
      <c r="F57" s="243"/>
      <c r="G57" s="243"/>
      <c r="H57" s="243"/>
      <c r="I57" s="243">
        <f>G57-H57</f>
        <v>0</v>
      </c>
      <c r="J57" s="256">
        <f>I57</f>
        <v>0</v>
      </c>
      <c r="K57" s="319"/>
      <c r="L57" s="720"/>
      <c r="M57" s="257"/>
      <c r="U57"/>
    </row>
    <row r="58" spans="1:669" s="1" customFormat="1" ht="15" thickBot="1" x14ac:dyDescent="0.25">
      <c r="A58" s="236" t="s">
        <v>18</v>
      </c>
      <c r="B58" s="830" t="s">
        <v>39</v>
      </c>
      <c r="C58" s="830"/>
      <c r="D58" s="240">
        <v>40226</v>
      </c>
      <c r="E58" s="3" t="s">
        <v>25</v>
      </c>
      <c r="F58" s="243">
        <f>8007.78+5000+50</f>
        <v>13057.779999999999</v>
      </c>
      <c r="G58" s="257">
        <v>898.7</v>
      </c>
      <c r="H58" s="243"/>
      <c r="I58" s="257">
        <f>+G58-H58</f>
        <v>898.7</v>
      </c>
      <c r="J58" s="243">
        <f>I58</f>
        <v>898.7</v>
      </c>
      <c r="K58" s="256"/>
      <c r="L58" s="21"/>
      <c r="M58" s="21"/>
      <c r="N58" s="21"/>
      <c r="O58" s="21"/>
      <c r="P58" s="21"/>
      <c r="Q58" s="21"/>
      <c r="R58" s="21"/>
      <c r="S58" s="21"/>
      <c r="T58" s="21"/>
      <c r="U58"/>
      <c r="V58" s="21"/>
      <c r="W58" s="21"/>
      <c r="X58" s="21"/>
      <c r="Y58" s="21"/>
      <c r="Z58" s="21"/>
      <c r="AA58" s="21"/>
      <c r="AB58" s="7"/>
      <c r="AC58" s="7"/>
      <c r="AD58" s="7"/>
      <c r="AE58" s="7"/>
      <c r="AF58" s="7"/>
      <c r="AG58" s="7"/>
      <c r="AH58" s="7"/>
      <c r="AI58" s="7"/>
      <c r="AJ58" s="7"/>
      <c r="AK58" s="7"/>
      <c r="AL58" s="7"/>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row>
    <row r="59" spans="1:669" s="1" customFormat="1" ht="15" hidden="1" thickBot="1" x14ac:dyDescent="0.25">
      <c r="A59" s="236" t="s">
        <v>382</v>
      </c>
      <c r="B59" s="830" t="s">
        <v>397</v>
      </c>
      <c r="C59" s="830"/>
      <c r="D59" s="240">
        <v>43770</v>
      </c>
      <c r="E59" s="4">
        <v>44196</v>
      </c>
      <c r="F59" s="243"/>
      <c r="G59" s="257"/>
      <c r="H59" s="243"/>
      <c r="I59" s="257"/>
      <c r="J59" s="243"/>
      <c r="K59" s="256"/>
      <c r="L59" s="21"/>
      <c r="M59" s="21"/>
      <c r="N59" s="21"/>
      <c r="O59" s="21"/>
      <c r="P59" s="21"/>
      <c r="Q59" s="21"/>
      <c r="R59" s="21"/>
      <c r="S59" s="21"/>
      <c r="T59" s="21"/>
      <c r="U59"/>
      <c r="V59" s="21"/>
      <c r="W59" s="21"/>
      <c r="X59" s="21"/>
      <c r="Y59" s="21"/>
      <c r="Z59" s="21"/>
      <c r="AA59" s="21"/>
      <c r="AB59" s="7"/>
      <c r="AC59" s="7"/>
      <c r="AD59" s="7"/>
      <c r="AE59" s="7"/>
      <c r="AF59" s="7"/>
      <c r="AG59" s="7"/>
      <c r="AH59" s="7"/>
      <c r="AI59" s="7"/>
      <c r="AJ59" s="7"/>
      <c r="AK59" s="7"/>
      <c r="AL59" s="7"/>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row>
    <row r="60" spans="1:669" s="1" customFormat="1" ht="15.75" thickBot="1" x14ac:dyDescent="0.3">
      <c r="A60" s="237" t="s">
        <v>632</v>
      </c>
      <c r="B60" s="835" t="s">
        <v>618</v>
      </c>
      <c r="C60" s="836"/>
      <c r="D60" s="320">
        <v>45292</v>
      </c>
      <c r="E60" s="614">
        <v>45657</v>
      </c>
      <c r="F60" s="588">
        <v>125000</v>
      </c>
      <c r="G60" s="615"/>
      <c r="H60" s="244">
        <v>45364.49</v>
      </c>
      <c r="I60" s="257">
        <f>125000-H60</f>
        <v>79635.510000000009</v>
      </c>
      <c r="J60" s="244"/>
      <c r="K60" s="252">
        <f>I60</f>
        <v>79635.510000000009</v>
      </c>
      <c r="L60" s="616" t="s">
        <v>97</v>
      </c>
      <c r="M60" s="21"/>
      <c r="N60" s="21"/>
      <c r="O60" s="21"/>
      <c r="P60" s="21"/>
      <c r="Q60" s="21"/>
      <c r="R60" s="21"/>
      <c r="S60" s="21"/>
      <c r="T60" s="21"/>
      <c r="U60"/>
      <c r="V60" s="21"/>
      <c r="W60" s="21"/>
      <c r="X60" s="21"/>
      <c r="Y60" s="21"/>
      <c r="Z60" s="21"/>
      <c r="AA60" s="21"/>
      <c r="AB60" s="7"/>
      <c r="AC60" s="7"/>
      <c r="AD60" s="7"/>
      <c r="AE60" s="7"/>
      <c r="AF60" s="7"/>
      <c r="AG60" s="7"/>
      <c r="AH60" s="7"/>
      <c r="AI60" s="7"/>
      <c r="AJ60" s="7"/>
      <c r="AK60" s="7"/>
      <c r="AL60" s="7"/>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row>
    <row r="61" spans="1:669" s="208" customFormat="1" ht="15.75" thickBot="1" x14ac:dyDescent="0.3">
      <c r="A61" s="235" t="s">
        <v>28</v>
      </c>
      <c r="B61" s="238"/>
      <c r="C61" s="238"/>
      <c r="D61" s="239"/>
      <c r="E61" s="239"/>
      <c r="F61" s="242">
        <f t="shared" ref="F61:K61" si="2">SUM(F41:F60)</f>
        <v>445557.78</v>
      </c>
      <c r="G61" s="238">
        <f t="shared" si="2"/>
        <v>198116.66</v>
      </c>
      <c r="H61" s="629">
        <f t="shared" si="2"/>
        <v>119910.72999999998</v>
      </c>
      <c r="I61" s="630">
        <f t="shared" si="2"/>
        <v>228205.93000000002</v>
      </c>
      <c r="J61" s="245">
        <f t="shared" si="2"/>
        <v>898.7</v>
      </c>
      <c r="K61" s="246">
        <f t="shared" si="2"/>
        <v>227307.23</v>
      </c>
      <c r="L61" s="352">
        <f>K36+K61+0.02</f>
        <v>227307.25</v>
      </c>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c r="BI61" s="207"/>
      <c r="BJ61" s="207"/>
      <c r="BK61" s="207"/>
      <c r="BL61" s="207"/>
      <c r="BM61" s="207"/>
      <c r="BN61" s="207"/>
      <c r="BO61" s="207"/>
      <c r="BP61" s="207"/>
      <c r="BQ61" s="207"/>
      <c r="BR61" s="207"/>
      <c r="BS61" s="207"/>
      <c r="BT61" s="207"/>
      <c r="BU61" s="207"/>
      <c r="BV61" s="207"/>
      <c r="BW61" s="207"/>
      <c r="BX61" s="207"/>
      <c r="BY61" s="207"/>
      <c r="BZ61" s="207"/>
      <c r="CA61" s="207"/>
      <c r="CB61" s="207"/>
      <c r="CC61" s="207"/>
      <c r="CD61" s="207"/>
      <c r="CE61" s="207"/>
      <c r="CF61" s="207"/>
      <c r="CG61" s="207"/>
      <c r="CH61" s="207"/>
      <c r="CI61" s="207"/>
      <c r="CJ61" s="207"/>
      <c r="CK61" s="207"/>
      <c r="CL61" s="207"/>
      <c r="CM61" s="207"/>
      <c r="CN61" s="207"/>
      <c r="CO61" s="207"/>
      <c r="CP61" s="207"/>
      <c r="CQ61" s="207"/>
      <c r="CR61" s="207"/>
      <c r="CS61" s="207"/>
      <c r="CT61" s="207"/>
      <c r="CU61" s="207"/>
      <c r="CV61" s="207"/>
      <c r="CW61" s="207"/>
      <c r="CX61" s="207"/>
      <c r="CY61" s="207"/>
      <c r="CZ61" s="207"/>
      <c r="DA61" s="207"/>
      <c r="DB61" s="207"/>
      <c r="DC61" s="207"/>
      <c r="DD61" s="207"/>
      <c r="DE61" s="207"/>
      <c r="DF61" s="207"/>
      <c r="DG61" s="207"/>
      <c r="DH61" s="207"/>
      <c r="DI61" s="207"/>
      <c r="DJ61" s="207"/>
      <c r="DK61" s="207"/>
      <c r="DL61" s="207"/>
      <c r="DM61" s="207"/>
      <c r="DN61" s="207"/>
      <c r="DO61" s="207"/>
      <c r="DP61" s="207"/>
      <c r="DQ61" s="207"/>
      <c r="DR61" s="207"/>
      <c r="DS61" s="207"/>
      <c r="DT61" s="207"/>
      <c r="DU61" s="207"/>
      <c r="DV61" s="207"/>
      <c r="DW61" s="207"/>
      <c r="DX61" s="207"/>
      <c r="DY61" s="207"/>
      <c r="DZ61" s="207"/>
      <c r="EA61" s="207"/>
      <c r="EB61" s="207"/>
      <c r="EC61" s="207"/>
      <c r="ED61" s="207"/>
      <c r="EE61" s="207"/>
      <c r="EF61" s="207"/>
      <c r="EG61" s="207"/>
      <c r="EH61" s="207"/>
      <c r="EI61" s="207"/>
      <c r="EJ61" s="207"/>
      <c r="EK61" s="207"/>
      <c r="EL61" s="207"/>
      <c r="EM61" s="207"/>
      <c r="EN61" s="207"/>
      <c r="EO61" s="207"/>
      <c r="EP61" s="207"/>
      <c r="EQ61" s="207"/>
      <c r="ER61" s="207"/>
      <c r="ES61" s="207"/>
      <c r="ET61" s="207"/>
      <c r="EU61" s="207"/>
      <c r="EV61" s="207"/>
      <c r="EW61" s="207"/>
      <c r="EX61" s="207"/>
      <c r="EY61" s="207"/>
      <c r="EZ61" s="207"/>
      <c r="FA61" s="207"/>
      <c r="FB61" s="207"/>
      <c r="FC61" s="207"/>
      <c r="FD61" s="207"/>
      <c r="FE61" s="207"/>
      <c r="FF61" s="207"/>
      <c r="FG61" s="207"/>
      <c r="FH61" s="207"/>
      <c r="FI61" s="207"/>
      <c r="FJ61" s="207"/>
      <c r="FK61" s="207"/>
      <c r="FL61" s="207"/>
      <c r="FM61" s="207"/>
      <c r="FN61" s="207"/>
      <c r="FO61" s="207"/>
      <c r="FP61" s="207"/>
      <c r="FQ61" s="207"/>
      <c r="FR61" s="207"/>
      <c r="FS61" s="207"/>
      <c r="FT61" s="207"/>
      <c r="FU61" s="207"/>
      <c r="FV61" s="207"/>
      <c r="FW61" s="207"/>
      <c r="FX61" s="207"/>
      <c r="FY61" s="207"/>
      <c r="FZ61" s="207"/>
      <c r="GA61" s="207"/>
      <c r="GB61" s="207"/>
      <c r="GC61" s="207"/>
      <c r="GD61" s="207"/>
      <c r="GE61" s="207"/>
      <c r="GF61" s="207"/>
      <c r="GG61" s="207"/>
      <c r="GH61" s="207"/>
      <c r="GI61" s="207"/>
      <c r="GJ61" s="207"/>
      <c r="GK61" s="207"/>
      <c r="GL61" s="207"/>
      <c r="GM61" s="207"/>
      <c r="GN61" s="207"/>
      <c r="GO61" s="207"/>
      <c r="GP61" s="207"/>
      <c r="GQ61" s="207"/>
      <c r="GR61" s="207"/>
      <c r="GS61" s="207"/>
      <c r="GT61" s="207"/>
      <c r="GU61" s="207"/>
      <c r="GV61" s="207"/>
      <c r="GW61" s="207"/>
      <c r="GX61" s="207"/>
      <c r="GY61" s="207"/>
      <c r="GZ61" s="207"/>
      <c r="HA61" s="207"/>
      <c r="HB61" s="207"/>
      <c r="HC61" s="207"/>
      <c r="HD61" s="207"/>
      <c r="HE61" s="207"/>
      <c r="HF61" s="207"/>
      <c r="HG61" s="207"/>
      <c r="HH61" s="207"/>
      <c r="HI61" s="207"/>
      <c r="HJ61" s="207"/>
      <c r="HK61" s="207"/>
      <c r="HL61" s="207"/>
      <c r="HM61" s="207"/>
      <c r="HN61" s="207"/>
      <c r="HO61" s="207"/>
      <c r="HP61" s="207"/>
      <c r="HQ61" s="207"/>
      <c r="HR61" s="207"/>
      <c r="HS61" s="207"/>
      <c r="HT61" s="207"/>
      <c r="HU61" s="207"/>
      <c r="HV61" s="207"/>
      <c r="HW61" s="207"/>
      <c r="HX61" s="207"/>
      <c r="HY61" s="207"/>
      <c r="HZ61" s="207"/>
      <c r="IA61" s="207"/>
      <c r="IB61" s="207"/>
      <c r="IC61" s="207"/>
      <c r="ID61" s="207"/>
      <c r="IE61" s="207"/>
      <c r="IF61" s="207"/>
      <c r="IG61" s="207"/>
      <c r="IH61" s="207"/>
      <c r="II61" s="207"/>
      <c r="IJ61" s="207"/>
      <c r="IK61" s="207"/>
      <c r="IL61" s="207"/>
      <c r="IM61" s="207"/>
      <c r="IN61" s="207"/>
      <c r="IO61" s="207"/>
      <c r="IP61" s="207"/>
      <c r="IQ61" s="207"/>
      <c r="IR61" s="207"/>
      <c r="IS61" s="207"/>
      <c r="IT61" s="207"/>
      <c r="IU61" s="207"/>
      <c r="IV61" s="207"/>
      <c r="IW61" s="207"/>
      <c r="IX61" s="207"/>
      <c r="IY61" s="207"/>
      <c r="IZ61" s="207"/>
      <c r="JA61" s="207"/>
      <c r="JB61" s="207"/>
      <c r="JC61" s="207"/>
      <c r="JD61" s="207"/>
      <c r="JE61" s="207"/>
      <c r="JF61" s="207"/>
      <c r="JG61" s="207"/>
      <c r="JH61" s="207"/>
      <c r="JI61" s="207"/>
      <c r="JJ61" s="207"/>
      <c r="JK61" s="207"/>
      <c r="JL61" s="207"/>
      <c r="JM61" s="207"/>
      <c r="JN61" s="207"/>
      <c r="JO61" s="207"/>
      <c r="JP61" s="207"/>
      <c r="JQ61" s="207"/>
      <c r="JR61" s="207"/>
      <c r="JS61" s="207"/>
      <c r="JT61" s="207"/>
      <c r="JU61" s="207"/>
      <c r="JV61" s="207"/>
      <c r="JW61" s="207"/>
      <c r="JX61" s="207"/>
      <c r="JY61" s="207"/>
      <c r="JZ61" s="207"/>
      <c r="KA61" s="207"/>
      <c r="KB61" s="207"/>
      <c r="KC61" s="207"/>
      <c r="KD61" s="207"/>
      <c r="KE61" s="207"/>
      <c r="KF61" s="207"/>
      <c r="KG61" s="207"/>
      <c r="KH61" s="207"/>
      <c r="KI61" s="207"/>
      <c r="KJ61" s="207"/>
      <c r="KK61" s="207"/>
      <c r="KL61" s="207"/>
      <c r="KM61" s="207"/>
      <c r="KN61" s="207"/>
      <c r="KO61" s="207"/>
      <c r="KP61" s="207"/>
      <c r="KQ61" s="207"/>
      <c r="KR61" s="207"/>
      <c r="KS61" s="207"/>
      <c r="KT61" s="207"/>
      <c r="KU61" s="207"/>
      <c r="KV61" s="207"/>
      <c r="KW61" s="207"/>
      <c r="KX61" s="207"/>
      <c r="KY61" s="207"/>
      <c r="KZ61" s="207"/>
      <c r="LA61" s="207"/>
      <c r="LB61" s="207"/>
      <c r="LC61" s="207"/>
      <c r="LD61" s="207"/>
      <c r="LE61" s="207"/>
      <c r="LF61" s="207"/>
      <c r="LG61" s="207"/>
      <c r="LH61" s="207"/>
      <c r="LI61" s="207"/>
      <c r="LJ61" s="207"/>
      <c r="LK61" s="207"/>
      <c r="LL61" s="207"/>
      <c r="LM61" s="207"/>
      <c r="LN61" s="207"/>
      <c r="LO61" s="207"/>
      <c r="LP61" s="207"/>
      <c r="LQ61" s="207"/>
      <c r="LR61" s="207"/>
      <c r="LS61" s="207"/>
      <c r="LT61" s="207"/>
      <c r="LU61" s="207"/>
      <c r="LV61" s="207"/>
      <c r="LW61" s="207"/>
      <c r="LX61" s="207"/>
      <c r="LY61" s="207"/>
      <c r="LZ61" s="207"/>
      <c r="MA61" s="207"/>
      <c r="MB61" s="207"/>
      <c r="MC61" s="207"/>
      <c r="MD61" s="207"/>
      <c r="ME61" s="207"/>
      <c r="MF61" s="207"/>
      <c r="MG61" s="207"/>
      <c r="MH61" s="207"/>
      <c r="MI61" s="207"/>
      <c r="MJ61" s="207"/>
      <c r="MK61" s="207"/>
      <c r="ML61" s="207"/>
      <c r="MM61" s="207"/>
      <c r="MN61" s="207"/>
      <c r="MO61" s="207"/>
      <c r="MP61" s="207"/>
      <c r="MQ61" s="207"/>
      <c r="MR61" s="207"/>
      <c r="MS61" s="207"/>
      <c r="MT61" s="207"/>
      <c r="MU61" s="207"/>
      <c r="MV61" s="207"/>
      <c r="MW61" s="207"/>
      <c r="MX61" s="207"/>
      <c r="MY61" s="207"/>
      <c r="MZ61" s="207"/>
      <c r="NA61" s="207"/>
      <c r="NB61" s="207"/>
      <c r="NC61" s="207"/>
      <c r="ND61" s="207"/>
      <c r="NE61" s="207"/>
      <c r="NF61" s="207"/>
      <c r="NG61" s="207"/>
      <c r="NH61" s="207"/>
      <c r="NI61" s="207"/>
      <c r="NJ61" s="207"/>
      <c r="NK61" s="207"/>
      <c r="NL61" s="207"/>
      <c r="NM61" s="207"/>
      <c r="NN61" s="207"/>
      <c r="NO61" s="207"/>
      <c r="NP61" s="207"/>
      <c r="NQ61" s="207"/>
      <c r="NR61" s="207"/>
      <c r="NS61" s="207"/>
      <c r="NT61" s="207"/>
      <c r="NU61" s="207"/>
      <c r="NV61" s="207"/>
      <c r="NW61" s="207"/>
      <c r="NX61" s="207"/>
      <c r="NY61" s="207"/>
      <c r="NZ61" s="207"/>
      <c r="OA61" s="207"/>
      <c r="OB61" s="207"/>
      <c r="OC61" s="207"/>
      <c r="OD61" s="207"/>
      <c r="OE61" s="207"/>
      <c r="OF61" s="207"/>
      <c r="OG61" s="207"/>
      <c r="OH61" s="207"/>
      <c r="OI61" s="207"/>
      <c r="OJ61" s="207"/>
      <c r="OK61" s="207"/>
      <c r="OL61" s="207"/>
      <c r="OM61" s="207"/>
      <c r="ON61" s="207"/>
      <c r="OO61" s="207"/>
      <c r="OP61" s="207"/>
      <c r="OQ61" s="207"/>
      <c r="OR61" s="207"/>
      <c r="OS61" s="207"/>
      <c r="OT61" s="207"/>
      <c r="OU61" s="207"/>
      <c r="OV61" s="207"/>
      <c r="OW61" s="207"/>
      <c r="OX61" s="207"/>
      <c r="OY61" s="207"/>
      <c r="OZ61" s="207"/>
      <c r="PA61" s="207"/>
      <c r="PB61" s="207"/>
      <c r="PC61" s="207"/>
      <c r="PD61" s="207"/>
      <c r="PE61" s="207"/>
      <c r="PF61" s="207"/>
      <c r="PG61" s="207"/>
      <c r="PH61" s="207"/>
      <c r="PI61" s="207"/>
      <c r="PJ61" s="207"/>
      <c r="PK61" s="207"/>
      <c r="PL61" s="207"/>
      <c r="PM61" s="207"/>
      <c r="PN61" s="207"/>
      <c r="PO61" s="207"/>
      <c r="PP61" s="207"/>
      <c r="PQ61" s="207"/>
      <c r="PR61" s="207"/>
      <c r="PS61" s="207"/>
      <c r="PT61" s="207"/>
      <c r="PU61" s="207"/>
      <c r="PV61" s="207"/>
      <c r="PW61" s="207"/>
      <c r="PX61" s="207"/>
      <c r="PY61" s="207"/>
      <c r="PZ61" s="207"/>
      <c r="QA61" s="207"/>
      <c r="QB61" s="207"/>
      <c r="QC61" s="207"/>
      <c r="QD61" s="207"/>
      <c r="QE61" s="207"/>
      <c r="QF61" s="207"/>
      <c r="QG61" s="207"/>
      <c r="QH61" s="207"/>
      <c r="QI61" s="207"/>
      <c r="QJ61" s="207"/>
      <c r="QK61" s="207"/>
      <c r="QL61" s="207"/>
      <c r="QM61" s="207"/>
      <c r="QN61" s="207"/>
      <c r="QO61" s="207"/>
      <c r="QP61" s="207"/>
      <c r="QQ61" s="207"/>
      <c r="QR61" s="207"/>
      <c r="QS61" s="207"/>
      <c r="QT61" s="207"/>
      <c r="QU61" s="207"/>
      <c r="QV61" s="207"/>
      <c r="QW61" s="207"/>
      <c r="QX61" s="207"/>
      <c r="QY61" s="207"/>
      <c r="QZ61" s="207"/>
      <c r="RA61" s="207"/>
      <c r="RB61" s="207"/>
      <c r="RC61" s="207"/>
      <c r="RD61" s="207"/>
      <c r="RE61" s="207"/>
      <c r="RF61" s="207"/>
      <c r="RG61" s="207"/>
      <c r="RH61" s="207"/>
      <c r="RI61" s="207"/>
      <c r="RJ61" s="207"/>
      <c r="RK61" s="207"/>
      <c r="RL61" s="207"/>
      <c r="RM61" s="207"/>
      <c r="RN61" s="207"/>
      <c r="RO61" s="207"/>
      <c r="RP61" s="207"/>
      <c r="RQ61" s="207"/>
      <c r="RR61" s="207"/>
      <c r="RS61" s="207"/>
      <c r="RT61" s="207"/>
      <c r="RU61" s="207"/>
      <c r="RV61" s="207"/>
      <c r="RW61" s="207"/>
      <c r="RX61" s="207"/>
      <c r="RY61" s="207"/>
      <c r="RZ61" s="207"/>
      <c r="SA61" s="207"/>
      <c r="SB61" s="207"/>
      <c r="SC61" s="207"/>
      <c r="SD61" s="207"/>
      <c r="SE61" s="207"/>
      <c r="SF61" s="207"/>
      <c r="SG61" s="207"/>
      <c r="SH61" s="207"/>
      <c r="SI61" s="207"/>
      <c r="SJ61" s="207"/>
      <c r="SK61" s="207"/>
      <c r="SL61" s="207"/>
      <c r="SM61" s="207"/>
      <c r="SN61" s="207"/>
      <c r="SO61" s="207"/>
      <c r="SP61" s="207"/>
      <c r="SQ61" s="207"/>
      <c r="SR61" s="207"/>
      <c r="SS61" s="207"/>
      <c r="ST61" s="207"/>
      <c r="SU61" s="207"/>
      <c r="SV61" s="207"/>
      <c r="SW61" s="207"/>
      <c r="SX61" s="207"/>
      <c r="SY61" s="207"/>
      <c r="SZ61" s="207"/>
      <c r="TA61" s="207"/>
      <c r="TB61" s="207"/>
      <c r="TC61" s="207"/>
      <c r="TD61" s="207"/>
      <c r="TE61" s="207"/>
      <c r="TF61" s="207"/>
      <c r="TG61" s="207"/>
      <c r="TH61" s="207"/>
      <c r="TI61" s="207"/>
      <c r="TJ61" s="207"/>
      <c r="TK61" s="207"/>
      <c r="TL61" s="207"/>
      <c r="TM61" s="207"/>
      <c r="TN61" s="207"/>
      <c r="TO61" s="207"/>
      <c r="TP61" s="207"/>
      <c r="TQ61" s="207"/>
      <c r="TR61" s="207"/>
      <c r="TS61" s="207"/>
      <c r="TT61" s="207"/>
      <c r="TU61" s="207"/>
      <c r="TV61" s="207"/>
      <c r="TW61" s="207"/>
      <c r="TX61" s="207"/>
      <c r="TY61" s="207"/>
      <c r="TZ61" s="207"/>
      <c r="UA61" s="207"/>
      <c r="UB61" s="207"/>
      <c r="UC61" s="207"/>
      <c r="UD61" s="207"/>
      <c r="UE61" s="207"/>
      <c r="UF61" s="207"/>
      <c r="UG61" s="207"/>
      <c r="UH61" s="207"/>
      <c r="UI61" s="207"/>
      <c r="UJ61" s="207"/>
      <c r="UK61" s="207"/>
      <c r="UL61" s="207"/>
      <c r="UM61" s="207"/>
      <c r="UN61" s="207"/>
      <c r="UO61" s="207"/>
      <c r="UP61" s="207"/>
      <c r="UQ61" s="207"/>
      <c r="UR61" s="207"/>
      <c r="US61" s="207"/>
      <c r="UT61" s="207"/>
      <c r="UU61" s="207"/>
      <c r="UV61" s="207"/>
      <c r="UW61" s="207"/>
      <c r="UX61" s="207"/>
      <c r="UY61" s="207"/>
      <c r="UZ61" s="207"/>
      <c r="VA61" s="207"/>
      <c r="VB61" s="207"/>
      <c r="VC61" s="207"/>
      <c r="VD61" s="207"/>
      <c r="VE61" s="207"/>
      <c r="VF61" s="207"/>
      <c r="VG61" s="207"/>
      <c r="VH61" s="207"/>
      <c r="VI61" s="207"/>
      <c r="VJ61" s="207"/>
      <c r="VK61" s="207"/>
      <c r="VL61" s="207"/>
      <c r="VM61" s="207"/>
      <c r="VN61" s="207"/>
      <c r="VO61" s="207"/>
      <c r="VP61" s="207"/>
      <c r="VQ61" s="207"/>
      <c r="VR61" s="207"/>
      <c r="VS61" s="207"/>
      <c r="VT61" s="207"/>
      <c r="VU61" s="207"/>
      <c r="VV61" s="207"/>
      <c r="VW61" s="207"/>
      <c r="VX61" s="207"/>
      <c r="VY61" s="207"/>
      <c r="VZ61" s="207"/>
      <c r="WA61" s="207"/>
      <c r="WB61" s="207"/>
      <c r="WC61" s="207"/>
      <c r="WD61" s="207"/>
      <c r="WE61" s="207"/>
      <c r="WF61" s="207"/>
      <c r="WG61" s="207"/>
      <c r="WH61" s="207"/>
      <c r="WI61" s="207"/>
      <c r="WJ61" s="207"/>
      <c r="WK61" s="207"/>
      <c r="WL61" s="207"/>
      <c r="WM61" s="207"/>
      <c r="WN61" s="207"/>
      <c r="WO61" s="207"/>
      <c r="WP61" s="207"/>
      <c r="WQ61" s="207"/>
      <c r="WR61" s="207"/>
      <c r="WS61" s="207"/>
      <c r="WT61" s="207"/>
      <c r="WU61" s="207"/>
      <c r="WV61" s="207"/>
      <c r="WW61" s="207"/>
      <c r="WX61" s="207"/>
      <c r="WY61" s="207"/>
      <c r="WZ61" s="207"/>
      <c r="XA61" s="207"/>
      <c r="XB61" s="207"/>
      <c r="XC61" s="207"/>
      <c r="XD61" s="207"/>
      <c r="XE61" s="207"/>
      <c r="XF61" s="207"/>
      <c r="XG61" s="207"/>
      <c r="XH61" s="207"/>
      <c r="XI61" s="207"/>
      <c r="XJ61" s="207"/>
      <c r="XK61" s="207"/>
      <c r="XL61" s="207"/>
      <c r="XM61" s="207"/>
      <c r="XN61" s="207"/>
      <c r="XO61" s="207"/>
      <c r="XP61" s="207"/>
      <c r="XQ61" s="207"/>
      <c r="XR61" s="207"/>
      <c r="XS61" s="207"/>
      <c r="XT61" s="207"/>
      <c r="XU61" s="207"/>
      <c r="XV61" s="207"/>
      <c r="XW61" s="207"/>
      <c r="XX61" s="207"/>
      <c r="XY61" s="207"/>
      <c r="XZ61" s="207"/>
      <c r="YA61" s="207"/>
      <c r="YB61" s="207"/>
      <c r="YC61" s="207"/>
      <c r="YD61" s="207"/>
      <c r="YE61" s="207"/>
      <c r="YF61" s="207"/>
      <c r="YG61" s="207"/>
      <c r="YH61" s="207"/>
      <c r="YI61" s="207"/>
      <c r="YJ61" s="207"/>
      <c r="YK61" s="207"/>
      <c r="YL61" s="207"/>
      <c r="YM61" s="207"/>
      <c r="YN61" s="207"/>
      <c r="YO61" s="207"/>
      <c r="YP61" s="207"/>
      <c r="YQ61" s="207"/>
      <c r="YR61" s="207"/>
      <c r="YS61" s="207"/>
    </row>
    <row r="62" spans="1:669" ht="15" thickBot="1" x14ac:dyDescent="0.25">
      <c r="U62"/>
    </row>
    <row r="63" spans="1:669" s="15" customFormat="1" ht="18.75" thickBot="1" x14ac:dyDescent="0.3">
      <c r="A63" s="247" t="s">
        <v>137</v>
      </c>
      <c r="B63" s="248"/>
      <c r="C63" s="249"/>
      <c r="D63" s="249"/>
      <c r="E63" s="249"/>
      <c r="F63" s="250"/>
      <c r="G63" s="250"/>
      <c r="H63" s="250"/>
      <c r="I63" s="250"/>
      <c r="J63" s="250"/>
      <c r="K63" s="253"/>
      <c r="L63" s="250"/>
      <c r="M63" s="254"/>
      <c r="N63" s="31"/>
      <c r="O63" s="31"/>
      <c r="P63" s="31"/>
      <c r="Q63" s="31"/>
      <c r="R63" s="31"/>
      <c r="S63" s="31"/>
      <c r="T63" s="31"/>
      <c r="U63" s="8"/>
      <c r="V63" s="31"/>
      <c r="W63" s="31"/>
      <c r="X63" s="31"/>
      <c r="Y63" s="31"/>
      <c r="Z63" s="31"/>
      <c r="AA63" s="31"/>
      <c r="AB63" s="32"/>
      <c r="AC63" s="32"/>
      <c r="AD63" s="32"/>
      <c r="AE63" s="32"/>
      <c r="AF63" s="32"/>
      <c r="AG63" s="32"/>
      <c r="AH63" s="32"/>
      <c r="AI63" s="32"/>
      <c r="AJ63" s="32"/>
      <c r="AK63" s="32"/>
      <c r="AL63" s="32"/>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c r="IN63" s="8"/>
      <c r="IO63" s="8"/>
      <c r="IP63" s="8"/>
      <c r="IQ63" s="8"/>
      <c r="IR63" s="8"/>
      <c r="IS63" s="8"/>
      <c r="IT63" s="8"/>
      <c r="IU63" s="8"/>
      <c r="IV63" s="8"/>
      <c r="IW63" s="8"/>
      <c r="IX63" s="8"/>
      <c r="IY63" s="8"/>
      <c r="IZ63" s="8"/>
      <c r="JA63" s="8"/>
      <c r="JB63" s="8"/>
      <c r="JC63" s="8"/>
      <c r="JD63" s="8"/>
      <c r="JE63" s="8"/>
      <c r="JF63" s="8"/>
      <c r="JG63" s="8"/>
      <c r="JH63" s="8"/>
      <c r="JI63" s="8"/>
      <c r="JJ63" s="8"/>
      <c r="JK63" s="8"/>
      <c r="JL63" s="8"/>
      <c r="JM63" s="8"/>
      <c r="JN63" s="8"/>
      <c r="JO63" s="8"/>
      <c r="JP63" s="8"/>
      <c r="JQ63" s="8"/>
      <c r="JR63" s="8"/>
      <c r="JS63" s="8"/>
      <c r="JT63" s="8"/>
      <c r="JU63" s="8"/>
      <c r="JV63" s="8"/>
      <c r="JW63" s="8"/>
      <c r="JX63" s="8"/>
      <c r="JY63" s="8"/>
      <c r="JZ63" s="8"/>
      <c r="KA63" s="8"/>
      <c r="KB63" s="8"/>
      <c r="KC63" s="8"/>
      <c r="KD63" s="8"/>
      <c r="KE63" s="8"/>
      <c r="KF63" s="8"/>
      <c r="KG63" s="8"/>
      <c r="KH63" s="8"/>
      <c r="KI63" s="8"/>
      <c r="KJ63" s="8"/>
      <c r="KK63" s="8"/>
      <c r="KL63" s="8"/>
      <c r="KM63" s="8"/>
      <c r="KN63" s="8"/>
      <c r="KO63" s="8"/>
      <c r="KP63" s="8"/>
      <c r="KQ63" s="8"/>
      <c r="KR63" s="8"/>
      <c r="KS63" s="8"/>
      <c r="KT63" s="8"/>
      <c r="KU63" s="8"/>
      <c r="KV63" s="8"/>
      <c r="KW63" s="8"/>
      <c r="KX63" s="8"/>
      <c r="KY63" s="8"/>
      <c r="KZ63" s="8"/>
      <c r="LA63" s="8"/>
      <c r="LB63" s="8"/>
      <c r="LC63" s="8"/>
      <c r="LD63" s="8"/>
      <c r="LE63" s="8"/>
      <c r="LF63" s="8"/>
      <c r="LG63" s="8"/>
      <c r="LH63" s="8"/>
      <c r="LI63" s="8"/>
      <c r="LJ63" s="8"/>
      <c r="LK63" s="8"/>
      <c r="LL63" s="8"/>
      <c r="LM63" s="8"/>
      <c r="LN63" s="8"/>
      <c r="LO63" s="8"/>
      <c r="LP63" s="8"/>
      <c r="LQ63" s="8"/>
      <c r="LR63" s="8"/>
      <c r="LS63" s="8"/>
      <c r="LT63" s="8"/>
      <c r="LU63" s="8"/>
      <c r="LV63" s="8"/>
      <c r="LW63" s="8"/>
      <c r="LX63" s="8"/>
      <c r="LY63" s="8"/>
      <c r="LZ63" s="8"/>
      <c r="MA63" s="8"/>
      <c r="MB63" s="8"/>
      <c r="MC63" s="8"/>
      <c r="MD63" s="8"/>
      <c r="ME63" s="8"/>
      <c r="MF63" s="8"/>
      <c r="MG63" s="8"/>
      <c r="MH63" s="8"/>
      <c r="MI63" s="8"/>
      <c r="MJ63" s="8"/>
      <c r="MK63" s="8"/>
      <c r="ML63" s="8"/>
      <c r="MM63" s="8"/>
      <c r="MN63" s="8"/>
      <c r="MO63" s="8"/>
      <c r="MP63" s="8"/>
      <c r="MQ63" s="8"/>
      <c r="MR63" s="8"/>
      <c r="MS63" s="8"/>
      <c r="MT63" s="8"/>
      <c r="MU63" s="8"/>
      <c r="MV63" s="8"/>
      <c r="MW63" s="8"/>
      <c r="MX63" s="8"/>
      <c r="MY63" s="8"/>
      <c r="MZ63" s="8"/>
      <c r="NA63" s="8"/>
      <c r="NB63" s="8"/>
      <c r="NC63" s="8"/>
      <c r="ND63" s="8"/>
      <c r="NE63" s="8"/>
      <c r="NF63" s="8"/>
      <c r="NG63" s="8"/>
      <c r="NH63" s="8"/>
      <c r="NI63" s="8"/>
      <c r="NJ63" s="8"/>
      <c r="NK63" s="8"/>
      <c r="NL63" s="8"/>
      <c r="NM63" s="8"/>
      <c r="NN63" s="8"/>
      <c r="NO63" s="8"/>
      <c r="NP63" s="8"/>
      <c r="NQ63" s="8"/>
      <c r="NR63" s="8"/>
      <c r="NS63" s="8"/>
      <c r="NT63" s="8"/>
      <c r="NU63" s="8"/>
      <c r="NV63" s="8"/>
      <c r="NW63" s="8"/>
      <c r="NX63" s="8"/>
      <c r="NY63" s="8"/>
      <c r="NZ63" s="8"/>
      <c r="OA63" s="8"/>
      <c r="OB63" s="8"/>
      <c r="OC63" s="8"/>
      <c r="OD63" s="8"/>
      <c r="OE63" s="8"/>
      <c r="OF63" s="8"/>
      <c r="OG63" s="8"/>
      <c r="OH63" s="8"/>
      <c r="OI63" s="8"/>
      <c r="OJ63" s="8"/>
      <c r="OK63" s="8"/>
      <c r="OL63" s="8"/>
      <c r="OM63" s="8"/>
      <c r="ON63" s="8"/>
      <c r="OO63" s="8"/>
      <c r="OP63" s="8"/>
      <c r="OQ63" s="8"/>
      <c r="OR63" s="8"/>
      <c r="OS63" s="8"/>
      <c r="OT63" s="8"/>
      <c r="OU63" s="8"/>
      <c r="OV63" s="8"/>
      <c r="OW63" s="8"/>
      <c r="OX63" s="8"/>
      <c r="OY63" s="8"/>
      <c r="OZ63" s="8"/>
      <c r="PA63" s="8"/>
      <c r="PB63" s="8"/>
      <c r="PC63" s="8"/>
      <c r="PD63" s="8"/>
      <c r="PE63" s="8"/>
      <c r="PF63" s="8"/>
      <c r="PG63" s="8"/>
      <c r="PH63" s="8"/>
      <c r="PI63" s="8"/>
      <c r="PJ63" s="8"/>
      <c r="PK63" s="8"/>
      <c r="PL63" s="8"/>
      <c r="PM63" s="8"/>
      <c r="PN63" s="8"/>
      <c r="PO63" s="8"/>
      <c r="PP63" s="8"/>
      <c r="PQ63" s="8"/>
      <c r="PR63" s="8"/>
      <c r="PS63" s="8"/>
      <c r="PT63" s="8"/>
      <c r="PU63" s="8"/>
      <c r="PV63" s="8"/>
      <c r="PW63" s="8"/>
      <c r="PX63" s="8"/>
      <c r="PY63" s="8"/>
      <c r="PZ63" s="8"/>
      <c r="QA63" s="8"/>
      <c r="QB63" s="8"/>
      <c r="QC63" s="8"/>
      <c r="QD63" s="8"/>
      <c r="QE63" s="8"/>
      <c r="QF63" s="8"/>
      <c r="QG63" s="8"/>
      <c r="QH63" s="8"/>
      <c r="QI63" s="8"/>
      <c r="QJ63" s="8"/>
      <c r="QK63" s="8"/>
      <c r="QL63" s="8"/>
      <c r="QM63" s="8"/>
      <c r="QN63" s="8"/>
      <c r="QO63" s="8"/>
      <c r="QP63" s="8"/>
      <c r="QQ63" s="8"/>
      <c r="QR63" s="8"/>
      <c r="QS63" s="8"/>
      <c r="QT63" s="8"/>
      <c r="QU63" s="8"/>
      <c r="QV63" s="8"/>
      <c r="QW63" s="8"/>
      <c r="QX63" s="8"/>
      <c r="QY63" s="8"/>
      <c r="QZ63" s="8"/>
      <c r="RA63" s="8"/>
      <c r="RB63" s="8"/>
      <c r="RC63" s="8"/>
      <c r="RD63" s="8"/>
      <c r="RE63" s="8"/>
      <c r="RF63" s="8"/>
      <c r="RG63" s="8"/>
      <c r="RH63" s="8"/>
      <c r="RI63" s="8"/>
      <c r="RJ63" s="8"/>
      <c r="RK63" s="8"/>
      <c r="RL63" s="8"/>
      <c r="RM63" s="8"/>
      <c r="RN63" s="8"/>
      <c r="RO63" s="8"/>
      <c r="RP63" s="8"/>
      <c r="RQ63" s="8"/>
      <c r="RR63" s="8"/>
      <c r="RS63" s="8"/>
      <c r="RT63" s="8"/>
      <c r="RU63" s="8"/>
      <c r="RV63" s="8"/>
      <c r="RW63" s="8"/>
      <c r="RX63" s="8"/>
      <c r="RY63" s="8"/>
      <c r="RZ63" s="8"/>
      <c r="SA63" s="8"/>
      <c r="SB63" s="8"/>
      <c r="SC63" s="8"/>
      <c r="SD63" s="8"/>
      <c r="SE63" s="8"/>
      <c r="SF63" s="8"/>
      <c r="SG63" s="8"/>
      <c r="SH63" s="8"/>
      <c r="SI63" s="8"/>
      <c r="SJ63" s="8"/>
      <c r="SK63" s="8"/>
      <c r="SL63" s="8"/>
      <c r="SM63" s="8"/>
      <c r="SN63" s="8"/>
      <c r="SO63" s="8"/>
      <c r="SP63" s="8"/>
      <c r="SQ63" s="8"/>
      <c r="SR63" s="8"/>
      <c r="SS63" s="8"/>
      <c r="ST63" s="8"/>
      <c r="SU63" s="8"/>
      <c r="SV63" s="8"/>
      <c r="SW63" s="8"/>
      <c r="SX63" s="8"/>
      <c r="SY63" s="8"/>
      <c r="SZ63" s="8"/>
      <c r="TA63" s="8"/>
      <c r="TB63" s="8"/>
      <c r="TC63" s="8"/>
      <c r="TD63" s="8"/>
      <c r="TE63" s="8"/>
      <c r="TF63" s="8"/>
      <c r="TG63" s="8"/>
      <c r="TH63" s="8"/>
      <c r="TI63" s="8"/>
      <c r="TJ63" s="8"/>
      <c r="TK63" s="8"/>
      <c r="TL63" s="8"/>
      <c r="TM63" s="8"/>
      <c r="TN63" s="8"/>
      <c r="TO63" s="8"/>
      <c r="TP63" s="8"/>
      <c r="TQ63" s="8"/>
      <c r="TR63" s="8"/>
      <c r="TS63" s="8"/>
      <c r="TT63" s="8"/>
      <c r="TU63" s="8"/>
      <c r="TV63" s="8"/>
      <c r="TW63" s="8"/>
      <c r="TX63" s="8"/>
      <c r="TY63" s="8"/>
      <c r="TZ63" s="8"/>
      <c r="UA63" s="8"/>
      <c r="UB63" s="8"/>
      <c r="UC63" s="8"/>
      <c r="UD63" s="8"/>
      <c r="UE63" s="8"/>
      <c r="UF63" s="8"/>
      <c r="UG63" s="8"/>
      <c r="UH63" s="8"/>
      <c r="UI63" s="8"/>
      <c r="UJ63" s="8"/>
      <c r="UK63" s="8"/>
      <c r="UL63" s="8"/>
      <c r="UM63" s="8"/>
      <c r="UN63" s="8"/>
      <c r="UO63" s="8"/>
      <c r="UP63" s="8"/>
      <c r="UQ63" s="8"/>
      <c r="UR63" s="8"/>
      <c r="US63" s="8"/>
      <c r="UT63" s="8"/>
      <c r="UU63" s="8"/>
      <c r="UV63" s="8"/>
      <c r="UW63" s="8"/>
      <c r="UX63" s="8"/>
      <c r="UY63" s="8"/>
      <c r="UZ63" s="8"/>
      <c r="VA63" s="8"/>
      <c r="VB63" s="8"/>
      <c r="VC63" s="8"/>
      <c r="VD63" s="8"/>
      <c r="VE63" s="8"/>
      <c r="VF63" s="8"/>
      <c r="VG63" s="8"/>
      <c r="VH63" s="8"/>
      <c r="VI63" s="8"/>
      <c r="VJ63" s="8"/>
      <c r="VK63" s="8"/>
      <c r="VL63" s="8"/>
      <c r="VM63" s="8"/>
      <c r="VN63" s="8"/>
      <c r="VO63" s="8"/>
      <c r="VP63" s="8"/>
      <c r="VQ63" s="8"/>
      <c r="VR63" s="8"/>
      <c r="VS63" s="8"/>
      <c r="VT63" s="8"/>
      <c r="VU63" s="8"/>
      <c r="VV63" s="8"/>
      <c r="VW63" s="8"/>
      <c r="VX63" s="8"/>
      <c r="VY63" s="8"/>
      <c r="VZ63" s="8"/>
      <c r="WA63" s="8"/>
      <c r="WB63" s="8"/>
      <c r="WC63" s="8"/>
      <c r="WD63" s="8"/>
      <c r="WE63" s="8"/>
      <c r="WF63" s="8"/>
      <c r="WG63" s="8"/>
      <c r="WH63" s="8"/>
      <c r="WI63" s="8"/>
      <c r="WJ63" s="8"/>
      <c r="WK63" s="8"/>
      <c r="WL63" s="8"/>
      <c r="WM63" s="8"/>
      <c r="WN63" s="8"/>
      <c r="WO63" s="8"/>
      <c r="WP63" s="8"/>
      <c r="WQ63" s="8"/>
      <c r="WR63" s="8"/>
      <c r="WS63" s="8"/>
      <c r="WT63" s="8"/>
      <c r="WU63" s="8"/>
      <c r="WV63" s="8"/>
      <c r="WW63" s="8"/>
      <c r="WX63" s="8"/>
      <c r="WY63" s="8"/>
      <c r="WZ63" s="8"/>
      <c r="XA63" s="8"/>
      <c r="XB63" s="8"/>
      <c r="XC63" s="8"/>
      <c r="XD63" s="8"/>
      <c r="XE63" s="8"/>
      <c r="XF63" s="8"/>
      <c r="XG63" s="8"/>
      <c r="XH63" s="8"/>
      <c r="XI63" s="8"/>
      <c r="XJ63" s="8"/>
      <c r="XK63" s="8"/>
      <c r="XL63" s="8"/>
      <c r="XM63" s="8"/>
      <c r="XN63" s="8"/>
      <c r="XO63" s="8"/>
      <c r="XP63" s="8"/>
      <c r="XQ63" s="8"/>
      <c r="XR63" s="8"/>
      <c r="XS63" s="8"/>
      <c r="XT63" s="8"/>
      <c r="XU63" s="8"/>
      <c r="XV63" s="8"/>
      <c r="XW63" s="8"/>
      <c r="XX63" s="8"/>
      <c r="XY63" s="8"/>
      <c r="XZ63" s="8"/>
      <c r="YA63" s="8"/>
      <c r="YB63" s="8"/>
      <c r="YC63" s="8"/>
      <c r="YD63" s="8"/>
      <c r="YE63" s="8"/>
      <c r="YF63" s="8"/>
      <c r="YG63" s="8"/>
      <c r="YH63" s="8"/>
      <c r="YI63" s="8"/>
      <c r="YJ63" s="8"/>
      <c r="YK63" s="8"/>
      <c r="YL63" s="8"/>
      <c r="YM63" s="8"/>
      <c r="YN63" s="8"/>
      <c r="YO63" s="8"/>
      <c r="YP63" s="8"/>
      <c r="YQ63" s="8"/>
      <c r="YR63" s="8"/>
      <c r="YS63" s="8"/>
    </row>
    <row r="64" spans="1:669" s="17" customFormat="1" ht="33.75" customHeight="1" thickBot="1" x14ac:dyDescent="0.25">
      <c r="A64" s="263" t="s">
        <v>31</v>
      </c>
      <c r="B64" s="827" t="s">
        <v>24</v>
      </c>
      <c r="C64" s="828"/>
      <c r="D64" s="828"/>
      <c r="E64" s="832"/>
      <c r="F64" s="267" t="s">
        <v>36</v>
      </c>
      <c r="G64" s="212" t="s">
        <v>636</v>
      </c>
      <c r="H64" s="212" t="s">
        <v>161</v>
      </c>
      <c r="I64" s="212" t="s">
        <v>458</v>
      </c>
      <c r="J64" s="212" t="s">
        <v>162</v>
      </c>
      <c r="K64" s="212" t="s">
        <v>10</v>
      </c>
      <c r="L64" s="212" t="s">
        <v>328</v>
      </c>
      <c r="M64" s="212" t="s">
        <v>4</v>
      </c>
      <c r="N64" s="26"/>
      <c r="O64" s="26"/>
      <c r="P64" s="26"/>
      <c r="Q64" s="26"/>
      <c r="R64" s="26"/>
      <c r="S64" s="26"/>
      <c r="T64" s="26"/>
      <c r="U64" s="3"/>
      <c r="V64" s="26"/>
      <c r="W64" s="26"/>
      <c r="X64" s="26"/>
      <c r="Y64" s="26"/>
      <c r="Z64" s="26"/>
      <c r="AA64" s="26"/>
      <c r="AB64" s="27"/>
      <c r="AC64" s="27"/>
      <c r="AD64" s="27"/>
      <c r="AE64" s="27"/>
      <c r="AF64" s="27"/>
      <c r="AG64" s="27"/>
      <c r="AH64" s="27"/>
      <c r="AI64" s="27"/>
      <c r="AJ64" s="27"/>
      <c r="AK64" s="27"/>
      <c r="AL64" s="27"/>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row>
    <row r="65" spans="1:669" hidden="1" x14ac:dyDescent="0.2">
      <c r="A65" s="236" t="s">
        <v>453</v>
      </c>
      <c r="B65" s="618" t="s">
        <v>447</v>
      </c>
      <c r="C65" s="619"/>
      <c r="D65" s="619"/>
      <c r="E65" s="620"/>
      <c r="F65" s="243"/>
      <c r="G65" s="243"/>
      <c r="H65" s="243"/>
      <c r="I65" s="243"/>
      <c r="J65" s="256"/>
      <c r="K65" s="319"/>
      <c r="L65" s="243">
        <f>K65</f>
        <v>0</v>
      </c>
      <c r="M65" s="243"/>
      <c r="U65"/>
    </row>
    <row r="66" spans="1:669" hidden="1" x14ac:dyDescent="0.2">
      <c r="A66" s="236" t="s">
        <v>545</v>
      </c>
      <c r="B66" s="618" t="s">
        <v>537</v>
      </c>
      <c r="C66" s="619"/>
      <c r="D66" s="619"/>
      <c r="E66" s="620"/>
      <c r="F66" s="243"/>
      <c r="G66" s="243"/>
      <c r="H66" s="243"/>
      <c r="I66" s="243"/>
      <c r="J66" s="256"/>
      <c r="K66" s="319"/>
      <c r="L66" s="243">
        <f>K66</f>
        <v>0</v>
      </c>
      <c r="M66" s="243"/>
      <c r="U66"/>
    </row>
    <row r="67" spans="1:669" x14ac:dyDescent="0.2">
      <c r="A67" s="236" t="s">
        <v>633</v>
      </c>
      <c r="B67" s="618" t="s">
        <v>619</v>
      </c>
      <c r="C67" s="619"/>
      <c r="D67" s="619"/>
      <c r="E67" s="620"/>
      <c r="F67" s="243">
        <v>52000</v>
      </c>
      <c r="G67" s="243"/>
      <c r="H67" s="243">
        <v>26000</v>
      </c>
      <c r="I67" s="243">
        <f>'April''24 AR Aging '!G58</f>
        <v>26000</v>
      </c>
      <c r="J67" s="256">
        <f>52000/12*4</f>
        <v>17333.333333333332</v>
      </c>
      <c r="K67" s="319">
        <f>G67+H67-J67+I67</f>
        <v>34666.666666666672</v>
      </c>
      <c r="L67" s="243">
        <f>K67</f>
        <v>34666.666666666672</v>
      </c>
      <c r="M67" s="243"/>
      <c r="U67"/>
    </row>
    <row r="68" spans="1:669" hidden="1" x14ac:dyDescent="0.2">
      <c r="A68" s="236" t="s">
        <v>621</v>
      </c>
      <c r="B68" s="829" t="s">
        <v>538</v>
      </c>
      <c r="C68" s="830"/>
      <c r="D68" s="830"/>
      <c r="E68" s="831"/>
      <c r="F68" s="243"/>
      <c r="G68" s="243"/>
      <c r="H68" s="243"/>
      <c r="I68" s="243"/>
      <c r="J68" s="256"/>
      <c r="K68" s="319"/>
      <c r="L68" s="243">
        <f>K68</f>
        <v>0</v>
      </c>
      <c r="M68" s="243"/>
      <c r="U68"/>
    </row>
    <row r="69" spans="1:669" x14ac:dyDescent="0.2">
      <c r="A69" s="236" t="s">
        <v>634</v>
      </c>
      <c r="B69" s="829" t="s">
        <v>620</v>
      </c>
      <c r="C69" s="830"/>
      <c r="D69" s="830"/>
      <c r="E69" s="831"/>
      <c r="F69" s="243">
        <v>21000</v>
      </c>
      <c r="G69" s="243"/>
      <c r="H69" s="243">
        <v>21000</v>
      </c>
      <c r="I69" s="243"/>
      <c r="J69" s="256">
        <f>21000/12*4</f>
        <v>7000</v>
      </c>
      <c r="K69" s="319">
        <f>G69+H69-J69+I69</f>
        <v>14000</v>
      </c>
      <c r="L69" s="243">
        <f>K69</f>
        <v>14000</v>
      </c>
      <c r="M69" s="243"/>
      <c r="U69"/>
    </row>
    <row r="70" spans="1:669" x14ac:dyDescent="0.2">
      <c r="A70" s="236" t="s">
        <v>454</v>
      </c>
      <c r="B70" s="618" t="s">
        <v>635</v>
      </c>
      <c r="C70" s="619"/>
      <c r="D70" s="619"/>
      <c r="E70" s="620"/>
      <c r="F70" s="243"/>
      <c r="G70" s="243"/>
      <c r="H70" s="243"/>
      <c r="I70" s="243">
        <f>'April''24 AR Aging '!G65</f>
        <v>3250</v>
      </c>
      <c r="J70" s="256">
        <f>I70</f>
        <v>3250</v>
      </c>
      <c r="K70" s="319"/>
      <c r="L70" s="243"/>
      <c r="M70" s="243"/>
      <c r="U70"/>
    </row>
    <row r="71" spans="1:669" x14ac:dyDescent="0.2">
      <c r="A71" s="236" t="s">
        <v>457</v>
      </c>
      <c r="B71" s="618" t="s">
        <v>635</v>
      </c>
      <c r="C71" s="619"/>
      <c r="D71" s="619"/>
      <c r="E71" s="620"/>
      <c r="F71" s="243">
        <v>10000</v>
      </c>
      <c r="G71" s="243"/>
      <c r="H71" s="243"/>
      <c r="I71" s="243">
        <f>'April''24 AR Aging '!G64</f>
        <v>1250</v>
      </c>
      <c r="J71" s="256">
        <f>I71</f>
        <v>1250</v>
      </c>
      <c r="K71" s="319"/>
      <c r="L71" s="243"/>
      <c r="M71" s="243"/>
      <c r="U71"/>
    </row>
    <row r="72" spans="1:669" x14ac:dyDescent="0.2">
      <c r="A72" s="236" t="s">
        <v>20</v>
      </c>
      <c r="B72" s="829" t="s">
        <v>425</v>
      </c>
      <c r="C72" s="830"/>
      <c r="D72" s="830"/>
      <c r="E72" s="831"/>
      <c r="F72" s="243"/>
      <c r="G72" s="243">
        <v>0</v>
      </c>
      <c r="H72" s="243">
        <f>J72</f>
        <v>5893.7</v>
      </c>
      <c r="I72" s="243"/>
      <c r="J72" s="256">
        <v>5893.7</v>
      </c>
      <c r="K72" s="319">
        <f>H72-J72</f>
        <v>0</v>
      </c>
      <c r="L72" s="243">
        <v>0</v>
      </c>
      <c r="M72" s="243">
        <v>0</v>
      </c>
    </row>
    <row r="73" spans="1:669" hidden="1" x14ac:dyDescent="0.2">
      <c r="A73" s="236" t="s">
        <v>622</v>
      </c>
      <c r="B73" s="618" t="s">
        <v>584</v>
      </c>
      <c r="C73" s="619"/>
      <c r="D73" s="619"/>
      <c r="E73" s="620"/>
      <c r="F73" s="243"/>
      <c r="G73" s="243"/>
      <c r="H73" s="256"/>
      <c r="I73" s="243"/>
      <c r="J73" s="256"/>
      <c r="K73" s="319">
        <f>H73-J73</f>
        <v>0</v>
      </c>
      <c r="L73" s="243"/>
      <c r="M73" s="243"/>
    </row>
    <row r="74" spans="1:669" x14ac:dyDescent="0.2">
      <c r="A74" s="236" t="s">
        <v>20</v>
      </c>
      <c r="B74" s="829" t="s">
        <v>6</v>
      </c>
      <c r="C74" s="830"/>
      <c r="D74" s="830"/>
      <c r="E74" s="831"/>
      <c r="F74" s="243"/>
      <c r="G74" s="243">
        <v>374.76</v>
      </c>
      <c r="H74" s="243"/>
      <c r="I74" s="243"/>
      <c r="J74" s="256"/>
      <c r="K74" s="319">
        <f>G74+H74-J74</f>
        <v>374.76</v>
      </c>
      <c r="L74" s="243">
        <f>K74</f>
        <v>374.76</v>
      </c>
      <c r="M74" s="243">
        <v>0</v>
      </c>
    </row>
    <row r="75" spans="1:669" x14ac:dyDescent="0.2">
      <c r="A75" s="236" t="s">
        <v>20</v>
      </c>
      <c r="B75" s="829" t="s">
        <v>7</v>
      </c>
      <c r="C75" s="830"/>
      <c r="D75" s="830"/>
      <c r="E75" s="831"/>
      <c r="F75" s="243"/>
      <c r="G75" s="243">
        <v>12334.5</v>
      </c>
      <c r="H75" s="243"/>
      <c r="I75" s="243">
        <v>0</v>
      </c>
      <c r="J75" s="256">
        <v>2836.96</v>
      </c>
      <c r="K75" s="319">
        <f>G75+H75-J75</f>
        <v>9497.5400000000009</v>
      </c>
      <c r="L75" s="243">
        <f>K75</f>
        <v>9497.5400000000009</v>
      </c>
      <c r="M75" s="243">
        <v>0</v>
      </c>
    </row>
    <row r="76" spans="1:669" x14ac:dyDescent="0.2">
      <c r="A76" s="236" t="s">
        <v>20</v>
      </c>
      <c r="B76" s="829" t="s">
        <v>8</v>
      </c>
      <c r="C76" s="830"/>
      <c r="D76" s="830"/>
      <c r="E76" s="831"/>
      <c r="F76" s="243"/>
      <c r="G76" s="243">
        <v>9033.86</v>
      </c>
      <c r="H76" s="243"/>
      <c r="I76" s="243"/>
      <c r="J76" s="256">
        <v>541.86</v>
      </c>
      <c r="K76" s="319">
        <f>G76+H76-J76</f>
        <v>8492</v>
      </c>
      <c r="L76" s="243">
        <f>K76</f>
        <v>8492</v>
      </c>
      <c r="M76" s="243">
        <v>0</v>
      </c>
    </row>
    <row r="77" spans="1:669" s="19" customFormat="1" x14ac:dyDescent="0.2">
      <c r="A77" s="236" t="s">
        <v>374</v>
      </c>
      <c r="B77" s="839" t="s">
        <v>600</v>
      </c>
      <c r="C77" s="840"/>
      <c r="D77" s="840"/>
      <c r="E77" s="841"/>
      <c r="F77" s="243">
        <v>50000</v>
      </c>
      <c r="G77" s="243">
        <v>0</v>
      </c>
      <c r="H77" s="243">
        <v>50000</v>
      </c>
      <c r="I77" s="243"/>
      <c r="J77" s="243">
        <f>50000/12*4</f>
        <v>16666.666666666668</v>
      </c>
      <c r="K77" s="319">
        <f>H77-J77</f>
        <v>33333.333333333328</v>
      </c>
      <c r="L77" s="243">
        <f>K77</f>
        <v>33333.333333333328</v>
      </c>
      <c r="M77" s="243"/>
      <c r="N77" s="21"/>
      <c r="O77" s="21"/>
      <c r="P77" s="21"/>
      <c r="Q77" s="21"/>
      <c r="R77" s="21"/>
      <c r="S77" s="21"/>
      <c r="T77" s="21"/>
      <c r="U77"/>
      <c r="V77" s="21"/>
      <c r="W77" s="21"/>
      <c r="X77" s="21"/>
      <c r="Y77" s="21"/>
      <c r="Z77" s="21"/>
      <c r="AA77" s="21"/>
      <c r="AB77" s="7"/>
      <c r="AC77" s="7"/>
      <c r="AD77" s="7"/>
      <c r="AE77" s="7"/>
      <c r="AF77" s="7"/>
      <c r="AG77" s="7"/>
      <c r="AH77" s="7"/>
      <c r="AI77" s="7"/>
      <c r="AJ77" s="7"/>
      <c r="AK77" s="7"/>
      <c r="AL77" s="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row>
    <row r="78" spans="1:669" s="19" customFormat="1" hidden="1" x14ac:dyDescent="0.2">
      <c r="A78" s="236" t="s">
        <v>20</v>
      </c>
      <c r="B78" s="618"/>
      <c r="C78" s="619"/>
      <c r="D78" s="619"/>
      <c r="E78" s="620"/>
      <c r="F78" s="243"/>
      <c r="G78" s="243"/>
      <c r="H78" s="243"/>
      <c r="I78" s="243"/>
      <c r="J78" s="243"/>
      <c r="K78" s="243"/>
      <c r="L78" s="243"/>
      <c r="M78" s="243"/>
      <c r="N78" s="21"/>
      <c r="O78" s="21"/>
      <c r="P78" s="21"/>
      <c r="Q78" s="21"/>
      <c r="R78" s="21"/>
      <c r="S78" s="21"/>
      <c r="T78" s="21"/>
      <c r="U78"/>
      <c r="V78" s="21"/>
      <c r="W78" s="21"/>
      <c r="X78" s="21"/>
      <c r="Y78" s="21"/>
      <c r="Z78" s="21"/>
      <c r="AA78" s="21"/>
      <c r="AB78" s="7"/>
      <c r="AC78" s="7"/>
      <c r="AD78" s="7"/>
      <c r="AE78" s="7"/>
      <c r="AF78" s="7"/>
      <c r="AG78" s="7"/>
      <c r="AH78" s="7"/>
      <c r="AI78" s="7"/>
      <c r="AJ78" s="7"/>
      <c r="AK78" s="7"/>
      <c r="AL78" s="7"/>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row>
    <row r="79" spans="1:669" ht="15" customHeight="1" thickBot="1" x14ac:dyDescent="0.25">
      <c r="A79" s="237"/>
      <c r="B79" s="829"/>
      <c r="C79" s="830"/>
      <c r="D79" s="830"/>
      <c r="E79" s="831"/>
      <c r="F79" s="244"/>
      <c r="G79" s="244">
        <v>0</v>
      </c>
      <c r="H79" s="244"/>
      <c r="I79" s="252"/>
      <c r="J79" s="244">
        <v>0</v>
      </c>
      <c r="K79" s="244"/>
      <c r="L79" s="244"/>
      <c r="M79" s="244">
        <v>0</v>
      </c>
      <c r="U79"/>
    </row>
    <row r="80" spans="1:669" s="208" customFormat="1" ht="15.75" thickBot="1" x14ac:dyDescent="0.3">
      <c r="A80" s="264" t="s">
        <v>34</v>
      </c>
      <c r="B80" s="265"/>
      <c r="C80" s="265"/>
      <c r="D80" s="265"/>
      <c r="E80" s="266"/>
      <c r="F80" s="312">
        <f t="shared" ref="F80:M80" si="3">SUM(F65:F79)</f>
        <v>133000</v>
      </c>
      <c r="G80" s="313">
        <f t="shared" si="3"/>
        <v>21743.120000000003</v>
      </c>
      <c r="H80" s="313">
        <f t="shared" si="3"/>
        <v>102893.7</v>
      </c>
      <c r="I80" s="313">
        <f t="shared" si="3"/>
        <v>30500</v>
      </c>
      <c r="J80" s="313">
        <f t="shared" si="3"/>
        <v>54772.520000000004</v>
      </c>
      <c r="K80" s="314">
        <f t="shared" si="3"/>
        <v>100364.3</v>
      </c>
      <c r="L80" s="315">
        <f>SUM(L65:L79)</f>
        <v>100364.3</v>
      </c>
      <c r="M80" s="314">
        <f t="shared" si="3"/>
        <v>0</v>
      </c>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207"/>
      <c r="BM80" s="207"/>
      <c r="BN80" s="207"/>
      <c r="BO80" s="207"/>
      <c r="BP80" s="207"/>
      <c r="BQ80" s="207"/>
      <c r="BR80" s="207"/>
      <c r="BS80" s="207"/>
      <c r="BT80" s="207"/>
      <c r="BU80" s="207"/>
      <c r="BV80" s="207"/>
      <c r="BW80" s="207"/>
      <c r="BX80" s="207"/>
      <c r="BY80" s="207"/>
      <c r="BZ80" s="207"/>
      <c r="CA80" s="207"/>
      <c r="CB80" s="207"/>
      <c r="CC80" s="207"/>
      <c r="CD80" s="207"/>
      <c r="CE80" s="207"/>
      <c r="CF80" s="207"/>
      <c r="CG80" s="207"/>
      <c r="CH80" s="207"/>
      <c r="CI80" s="207"/>
      <c r="CJ80" s="207"/>
      <c r="CK80" s="207"/>
      <c r="CL80" s="207"/>
      <c r="CM80" s="207"/>
      <c r="CN80" s="207"/>
      <c r="CO80" s="207"/>
      <c r="CP80" s="207"/>
      <c r="CQ80" s="207"/>
      <c r="CR80" s="207"/>
      <c r="CS80" s="207"/>
      <c r="CT80" s="207"/>
      <c r="CU80" s="207"/>
      <c r="CV80" s="207"/>
      <c r="CW80" s="207"/>
      <c r="CX80" s="207"/>
      <c r="CY80" s="207"/>
      <c r="CZ80" s="207"/>
      <c r="DA80" s="207"/>
      <c r="DB80" s="207"/>
      <c r="DC80" s="207"/>
      <c r="DD80" s="207"/>
      <c r="DE80" s="207"/>
      <c r="DF80" s="207"/>
      <c r="DG80" s="207"/>
      <c r="DH80" s="207"/>
      <c r="DI80" s="207"/>
      <c r="DJ80" s="207"/>
      <c r="DK80" s="207"/>
      <c r="DL80" s="207"/>
      <c r="DM80" s="207"/>
      <c r="DN80" s="207"/>
      <c r="DO80" s="207"/>
      <c r="DP80" s="207"/>
      <c r="DQ80" s="207"/>
      <c r="DR80" s="207"/>
      <c r="DS80" s="207"/>
      <c r="DT80" s="207"/>
      <c r="DU80" s="207"/>
      <c r="DV80" s="207"/>
      <c r="DW80" s="207"/>
      <c r="DX80" s="207"/>
      <c r="DY80" s="207"/>
      <c r="DZ80" s="207"/>
      <c r="EA80" s="207"/>
      <c r="EB80" s="207"/>
      <c r="EC80" s="207"/>
      <c r="ED80" s="207"/>
      <c r="EE80" s="207"/>
      <c r="EF80" s="207"/>
      <c r="EG80" s="207"/>
      <c r="EH80" s="207"/>
      <c r="EI80" s="207"/>
      <c r="EJ80" s="207"/>
      <c r="EK80" s="207"/>
      <c r="EL80" s="207"/>
      <c r="EM80" s="207"/>
      <c r="EN80" s="207"/>
      <c r="EO80" s="207"/>
      <c r="EP80" s="207"/>
      <c r="EQ80" s="207"/>
      <c r="ER80" s="207"/>
      <c r="ES80" s="207"/>
      <c r="ET80" s="207"/>
      <c r="EU80" s="207"/>
      <c r="EV80" s="207"/>
      <c r="EW80" s="207"/>
      <c r="EX80" s="207"/>
      <c r="EY80" s="207"/>
      <c r="EZ80" s="207"/>
      <c r="FA80" s="207"/>
      <c r="FB80" s="207"/>
      <c r="FC80" s="207"/>
      <c r="FD80" s="207"/>
      <c r="FE80" s="207"/>
      <c r="FF80" s="207"/>
      <c r="FG80" s="207"/>
      <c r="FH80" s="207"/>
      <c r="FI80" s="207"/>
      <c r="FJ80" s="207"/>
      <c r="FK80" s="207"/>
      <c r="FL80" s="207"/>
      <c r="FM80" s="207"/>
      <c r="FN80" s="207"/>
      <c r="FO80" s="207"/>
      <c r="FP80" s="207"/>
      <c r="FQ80" s="207"/>
      <c r="FR80" s="207"/>
      <c r="FS80" s="207"/>
      <c r="FT80" s="207"/>
      <c r="FU80" s="207"/>
      <c r="FV80" s="207"/>
      <c r="FW80" s="207"/>
      <c r="FX80" s="207"/>
      <c r="FY80" s="207"/>
      <c r="FZ80" s="207"/>
      <c r="GA80" s="207"/>
      <c r="GB80" s="207"/>
      <c r="GC80" s="207"/>
      <c r="GD80" s="207"/>
      <c r="GE80" s="207"/>
      <c r="GF80" s="207"/>
      <c r="GG80" s="207"/>
      <c r="GH80" s="207"/>
      <c r="GI80" s="207"/>
      <c r="GJ80" s="207"/>
      <c r="GK80" s="207"/>
      <c r="GL80" s="207"/>
      <c r="GM80" s="207"/>
      <c r="GN80" s="207"/>
      <c r="GO80" s="207"/>
      <c r="GP80" s="207"/>
      <c r="GQ80" s="207"/>
      <c r="GR80" s="207"/>
      <c r="GS80" s="207"/>
      <c r="GT80" s="207"/>
      <c r="GU80" s="207"/>
      <c r="GV80" s="207"/>
      <c r="GW80" s="207"/>
      <c r="GX80" s="207"/>
      <c r="GY80" s="207"/>
      <c r="GZ80" s="207"/>
      <c r="HA80" s="207"/>
      <c r="HB80" s="207"/>
      <c r="HC80" s="207"/>
      <c r="HD80" s="207"/>
      <c r="HE80" s="207"/>
      <c r="HF80" s="207"/>
      <c r="HG80" s="207"/>
      <c r="HH80" s="207"/>
      <c r="HI80" s="207"/>
      <c r="HJ80" s="207"/>
      <c r="HK80" s="207"/>
      <c r="HL80" s="207"/>
      <c r="HM80" s="207"/>
      <c r="HN80" s="207"/>
      <c r="HO80" s="207"/>
      <c r="HP80" s="207"/>
      <c r="HQ80" s="207"/>
      <c r="HR80" s="207"/>
      <c r="HS80" s="207"/>
      <c r="HT80" s="207"/>
      <c r="HU80" s="207"/>
      <c r="HV80" s="207"/>
      <c r="HW80" s="207"/>
      <c r="HX80" s="207"/>
      <c r="HY80" s="207"/>
      <c r="HZ80" s="207"/>
      <c r="IA80" s="207"/>
      <c r="IB80" s="207"/>
      <c r="IC80" s="207"/>
      <c r="ID80" s="207"/>
      <c r="IE80" s="207"/>
      <c r="IF80" s="207"/>
      <c r="IG80" s="207"/>
      <c r="IH80" s="207"/>
      <c r="II80" s="207"/>
      <c r="IJ80" s="207"/>
      <c r="IK80" s="207"/>
      <c r="IL80" s="207"/>
      <c r="IM80" s="207"/>
      <c r="IN80" s="207"/>
      <c r="IO80" s="207"/>
      <c r="IP80" s="207"/>
      <c r="IQ80" s="207"/>
      <c r="IR80" s="207"/>
      <c r="IS80" s="207"/>
      <c r="IT80" s="207"/>
      <c r="IU80" s="207"/>
      <c r="IV80" s="207"/>
      <c r="IW80" s="207"/>
      <c r="IX80" s="207"/>
      <c r="IY80" s="207"/>
      <c r="IZ80" s="207"/>
      <c r="JA80" s="207"/>
      <c r="JB80" s="207"/>
      <c r="JC80" s="207"/>
      <c r="JD80" s="207"/>
      <c r="JE80" s="207"/>
      <c r="JF80" s="207"/>
      <c r="JG80" s="207"/>
      <c r="JH80" s="207"/>
      <c r="JI80" s="207"/>
      <c r="JJ80" s="207"/>
      <c r="JK80" s="207"/>
      <c r="JL80" s="207"/>
      <c r="JM80" s="207"/>
      <c r="JN80" s="207"/>
      <c r="JO80" s="207"/>
      <c r="JP80" s="207"/>
      <c r="JQ80" s="207"/>
      <c r="JR80" s="207"/>
      <c r="JS80" s="207"/>
      <c r="JT80" s="207"/>
      <c r="JU80" s="207"/>
      <c r="JV80" s="207"/>
      <c r="JW80" s="207"/>
      <c r="JX80" s="207"/>
      <c r="JY80" s="207"/>
      <c r="JZ80" s="207"/>
      <c r="KA80" s="207"/>
      <c r="KB80" s="207"/>
      <c r="KC80" s="207"/>
      <c r="KD80" s="207"/>
      <c r="KE80" s="207"/>
      <c r="KF80" s="207"/>
      <c r="KG80" s="207"/>
      <c r="KH80" s="207"/>
      <c r="KI80" s="207"/>
      <c r="KJ80" s="207"/>
      <c r="KK80" s="207"/>
      <c r="KL80" s="207"/>
      <c r="KM80" s="207"/>
      <c r="KN80" s="207"/>
      <c r="KO80" s="207"/>
      <c r="KP80" s="207"/>
      <c r="KQ80" s="207"/>
      <c r="KR80" s="207"/>
      <c r="KS80" s="207"/>
      <c r="KT80" s="207"/>
      <c r="KU80" s="207"/>
      <c r="KV80" s="207"/>
      <c r="KW80" s="207"/>
      <c r="KX80" s="207"/>
      <c r="KY80" s="207"/>
      <c r="KZ80" s="207"/>
      <c r="LA80" s="207"/>
      <c r="LB80" s="207"/>
      <c r="LC80" s="207"/>
      <c r="LD80" s="207"/>
      <c r="LE80" s="207"/>
      <c r="LF80" s="207"/>
      <c r="LG80" s="207"/>
      <c r="LH80" s="207"/>
      <c r="LI80" s="207"/>
      <c r="LJ80" s="207"/>
      <c r="LK80" s="207"/>
      <c r="LL80" s="207"/>
      <c r="LM80" s="207"/>
      <c r="LN80" s="207"/>
      <c r="LO80" s="207"/>
      <c r="LP80" s="207"/>
      <c r="LQ80" s="207"/>
      <c r="LR80" s="207"/>
      <c r="LS80" s="207"/>
      <c r="LT80" s="207"/>
      <c r="LU80" s="207"/>
      <c r="LV80" s="207"/>
      <c r="LW80" s="207"/>
      <c r="LX80" s="207"/>
      <c r="LY80" s="207"/>
      <c r="LZ80" s="207"/>
      <c r="MA80" s="207"/>
      <c r="MB80" s="207"/>
      <c r="MC80" s="207"/>
      <c r="MD80" s="207"/>
      <c r="ME80" s="207"/>
      <c r="MF80" s="207"/>
      <c r="MG80" s="207"/>
      <c r="MH80" s="207"/>
      <c r="MI80" s="207"/>
      <c r="MJ80" s="207"/>
      <c r="MK80" s="207"/>
      <c r="ML80" s="207"/>
      <c r="MM80" s="207"/>
      <c r="MN80" s="207"/>
      <c r="MO80" s="207"/>
      <c r="MP80" s="207"/>
      <c r="MQ80" s="207"/>
      <c r="MR80" s="207"/>
      <c r="MS80" s="207"/>
      <c r="MT80" s="207"/>
      <c r="MU80" s="207"/>
      <c r="MV80" s="207"/>
      <c r="MW80" s="207"/>
      <c r="MX80" s="207"/>
      <c r="MY80" s="207"/>
      <c r="MZ80" s="207"/>
      <c r="NA80" s="207"/>
      <c r="NB80" s="207"/>
      <c r="NC80" s="207"/>
      <c r="ND80" s="207"/>
      <c r="NE80" s="207"/>
      <c r="NF80" s="207"/>
      <c r="NG80" s="207"/>
      <c r="NH80" s="207"/>
      <c r="NI80" s="207"/>
      <c r="NJ80" s="207"/>
      <c r="NK80" s="207"/>
      <c r="NL80" s="207"/>
      <c r="NM80" s="207"/>
      <c r="NN80" s="207"/>
      <c r="NO80" s="207"/>
      <c r="NP80" s="207"/>
      <c r="NQ80" s="207"/>
      <c r="NR80" s="207"/>
      <c r="NS80" s="207"/>
      <c r="NT80" s="207"/>
      <c r="NU80" s="207"/>
      <c r="NV80" s="207"/>
      <c r="NW80" s="207"/>
      <c r="NX80" s="207"/>
      <c r="NY80" s="207"/>
      <c r="NZ80" s="207"/>
      <c r="OA80" s="207"/>
      <c r="OB80" s="207"/>
      <c r="OC80" s="207"/>
      <c r="OD80" s="207"/>
      <c r="OE80" s="207"/>
      <c r="OF80" s="207"/>
      <c r="OG80" s="207"/>
      <c r="OH80" s="207"/>
      <c r="OI80" s="207"/>
      <c r="OJ80" s="207"/>
      <c r="OK80" s="207"/>
      <c r="OL80" s="207"/>
      <c r="OM80" s="207"/>
      <c r="ON80" s="207"/>
      <c r="OO80" s="207"/>
      <c r="OP80" s="207"/>
      <c r="OQ80" s="207"/>
      <c r="OR80" s="207"/>
      <c r="OS80" s="207"/>
      <c r="OT80" s="207"/>
      <c r="OU80" s="207"/>
      <c r="OV80" s="207"/>
      <c r="OW80" s="207"/>
      <c r="OX80" s="207"/>
      <c r="OY80" s="207"/>
      <c r="OZ80" s="207"/>
      <c r="PA80" s="207"/>
      <c r="PB80" s="207"/>
      <c r="PC80" s="207"/>
      <c r="PD80" s="207"/>
      <c r="PE80" s="207"/>
      <c r="PF80" s="207"/>
      <c r="PG80" s="207"/>
      <c r="PH80" s="207"/>
      <c r="PI80" s="207"/>
      <c r="PJ80" s="207"/>
      <c r="PK80" s="207"/>
      <c r="PL80" s="207"/>
      <c r="PM80" s="207"/>
      <c r="PN80" s="207"/>
      <c r="PO80" s="207"/>
      <c r="PP80" s="207"/>
      <c r="PQ80" s="207"/>
      <c r="PR80" s="207"/>
      <c r="PS80" s="207"/>
      <c r="PT80" s="207"/>
      <c r="PU80" s="207"/>
      <c r="PV80" s="207"/>
      <c r="PW80" s="207"/>
      <c r="PX80" s="207"/>
      <c r="PY80" s="207"/>
      <c r="PZ80" s="207"/>
      <c r="QA80" s="207"/>
      <c r="QB80" s="207"/>
      <c r="QC80" s="207"/>
      <c r="QD80" s="207"/>
      <c r="QE80" s="207"/>
      <c r="QF80" s="207"/>
      <c r="QG80" s="207"/>
      <c r="QH80" s="207"/>
      <c r="QI80" s="207"/>
      <c r="QJ80" s="207"/>
      <c r="QK80" s="207"/>
      <c r="QL80" s="207"/>
      <c r="QM80" s="207"/>
      <c r="QN80" s="207"/>
      <c r="QO80" s="207"/>
      <c r="QP80" s="207"/>
      <c r="QQ80" s="207"/>
      <c r="QR80" s="207"/>
      <c r="QS80" s="207"/>
      <c r="QT80" s="207"/>
      <c r="QU80" s="207"/>
      <c r="QV80" s="207"/>
      <c r="QW80" s="207"/>
      <c r="QX80" s="207"/>
      <c r="QY80" s="207"/>
      <c r="QZ80" s="207"/>
      <c r="RA80" s="207"/>
      <c r="RB80" s="207"/>
      <c r="RC80" s="207"/>
      <c r="RD80" s="207"/>
      <c r="RE80" s="207"/>
      <c r="RF80" s="207"/>
      <c r="RG80" s="207"/>
      <c r="RH80" s="207"/>
      <c r="RI80" s="207"/>
      <c r="RJ80" s="207"/>
      <c r="RK80" s="207"/>
      <c r="RL80" s="207"/>
      <c r="RM80" s="207"/>
      <c r="RN80" s="207"/>
      <c r="RO80" s="207"/>
      <c r="RP80" s="207"/>
      <c r="RQ80" s="207"/>
      <c r="RR80" s="207"/>
      <c r="RS80" s="207"/>
      <c r="RT80" s="207"/>
      <c r="RU80" s="207"/>
      <c r="RV80" s="207"/>
      <c r="RW80" s="207"/>
      <c r="RX80" s="207"/>
      <c r="RY80" s="207"/>
      <c r="RZ80" s="207"/>
      <c r="SA80" s="207"/>
      <c r="SB80" s="207"/>
      <c r="SC80" s="207"/>
      <c r="SD80" s="207"/>
      <c r="SE80" s="207"/>
      <c r="SF80" s="207"/>
      <c r="SG80" s="207"/>
      <c r="SH80" s="207"/>
      <c r="SI80" s="207"/>
      <c r="SJ80" s="207"/>
      <c r="SK80" s="207"/>
      <c r="SL80" s="207"/>
      <c r="SM80" s="207"/>
      <c r="SN80" s="207"/>
      <c r="SO80" s="207"/>
      <c r="SP80" s="207"/>
      <c r="SQ80" s="207"/>
      <c r="SR80" s="207"/>
      <c r="SS80" s="207"/>
      <c r="ST80" s="207"/>
      <c r="SU80" s="207"/>
      <c r="SV80" s="207"/>
      <c r="SW80" s="207"/>
      <c r="SX80" s="207"/>
      <c r="SY80" s="207"/>
      <c r="SZ80" s="207"/>
      <c r="TA80" s="207"/>
      <c r="TB80" s="207"/>
      <c r="TC80" s="207"/>
      <c r="TD80" s="207"/>
      <c r="TE80" s="207"/>
      <c r="TF80" s="207"/>
      <c r="TG80" s="207"/>
      <c r="TH80" s="207"/>
      <c r="TI80" s="207"/>
      <c r="TJ80" s="207"/>
      <c r="TK80" s="207"/>
      <c r="TL80" s="207"/>
      <c r="TM80" s="207"/>
      <c r="TN80" s="207"/>
      <c r="TO80" s="207"/>
      <c r="TP80" s="207"/>
      <c r="TQ80" s="207"/>
      <c r="TR80" s="207"/>
      <c r="TS80" s="207"/>
      <c r="TT80" s="207"/>
      <c r="TU80" s="207"/>
      <c r="TV80" s="207"/>
      <c r="TW80" s="207"/>
      <c r="TX80" s="207"/>
      <c r="TY80" s="207"/>
      <c r="TZ80" s="207"/>
      <c r="UA80" s="207"/>
      <c r="UB80" s="207"/>
      <c r="UC80" s="207"/>
      <c r="UD80" s="207"/>
      <c r="UE80" s="207"/>
      <c r="UF80" s="207"/>
      <c r="UG80" s="207"/>
      <c r="UH80" s="207"/>
      <c r="UI80" s="207"/>
      <c r="UJ80" s="207"/>
      <c r="UK80" s="207"/>
      <c r="UL80" s="207"/>
      <c r="UM80" s="207"/>
      <c r="UN80" s="207"/>
      <c r="UO80" s="207"/>
      <c r="UP80" s="207"/>
      <c r="UQ80" s="207"/>
      <c r="UR80" s="207"/>
      <c r="US80" s="207"/>
      <c r="UT80" s="207"/>
      <c r="UU80" s="207"/>
      <c r="UV80" s="207"/>
      <c r="UW80" s="207"/>
      <c r="UX80" s="207"/>
      <c r="UY80" s="207"/>
      <c r="UZ80" s="207"/>
      <c r="VA80" s="207"/>
      <c r="VB80" s="207"/>
      <c r="VC80" s="207"/>
      <c r="VD80" s="207"/>
      <c r="VE80" s="207"/>
      <c r="VF80" s="207"/>
      <c r="VG80" s="207"/>
      <c r="VH80" s="207"/>
      <c r="VI80" s="207"/>
      <c r="VJ80" s="207"/>
      <c r="VK80" s="207"/>
      <c r="VL80" s="207"/>
      <c r="VM80" s="207"/>
      <c r="VN80" s="207"/>
      <c r="VO80" s="207"/>
      <c r="VP80" s="207"/>
      <c r="VQ80" s="207"/>
      <c r="VR80" s="207"/>
      <c r="VS80" s="207"/>
      <c r="VT80" s="207"/>
      <c r="VU80" s="207"/>
      <c r="VV80" s="207"/>
      <c r="VW80" s="207"/>
      <c r="VX80" s="207"/>
      <c r="VY80" s="207"/>
      <c r="VZ80" s="207"/>
      <c r="WA80" s="207"/>
      <c r="WB80" s="207"/>
      <c r="WC80" s="207"/>
      <c r="WD80" s="207"/>
      <c r="WE80" s="207"/>
      <c r="WF80" s="207"/>
      <c r="WG80" s="207"/>
      <c r="WH80" s="207"/>
      <c r="WI80" s="207"/>
      <c r="WJ80" s="207"/>
      <c r="WK80" s="207"/>
      <c r="WL80" s="207"/>
      <c r="WM80" s="207"/>
      <c r="WN80" s="207"/>
      <c r="WO80" s="207"/>
      <c r="WP80" s="207"/>
      <c r="WQ80" s="207"/>
      <c r="WR80" s="207"/>
      <c r="WS80" s="207"/>
      <c r="WT80" s="207"/>
      <c r="WU80" s="207"/>
      <c r="WV80" s="207"/>
      <c r="WW80" s="207"/>
      <c r="WX80" s="207"/>
      <c r="WY80" s="207"/>
      <c r="WZ80" s="207"/>
      <c r="XA80" s="207"/>
      <c r="XB80" s="207"/>
      <c r="XC80" s="207"/>
      <c r="XD80" s="207"/>
      <c r="XE80" s="207"/>
      <c r="XF80" s="207"/>
      <c r="XG80" s="207"/>
      <c r="XH80" s="207"/>
      <c r="XI80" s="207"/>
      <c r="XJ80" s="207"/>
      <c r="XK80" s="207"/>
      <c r="XL80" s="207"/>
      <c r="XM80" s="207"/>
      <c r="XN80" s="207"/>
      <c r="XO80" s="207"/>
      <c r="XP80" s="207"/>
      <c r="XQ80" s="207"/>
      <c r="XR80" s="207"/>
      <c r="XS80" s="207"/>
      <c r="XT80" s="207"/>
      <c r="XU80" s="207"/>
      <c r="XV80" s="207"/>
      <c r="XW80" s="207"/>
      <c r="XX80" s="207"/>
      <c r="XY80" s="207"/>
      <c r="XZ80" s="207"/>
      <c r="YA80" s="207"/>
      <c r="YB80" s="207"/>
      <c r="YC80" s="207"/>
      <c r="YD80" s="207"/>
      <c r="YE80" s="207"/>
      <c r="YF80" s="207"/>
      <c r="YG80" s="207"/>
      <c r="YH80" s="207"/>
      <c r="YI80" s="207"/>
      <c r="YJ80" s="207"/>
      <c r="YK80" s="207"/>
      <c r="YL80" s="207"/>
      <c r="YM80" s="207"/>
      <c r="YN80" s="207"/>
      <c r="YO80" s="207"/>
      <c r="YP80" s="207"/>
      <c r="YQ80" s="207"/>
      <c r="YR80" s="207"/>
      <c r="YS80" s="207"/>
    </row>
    <row r="81" spans="1:669" ht="15" thickBot="1" x14ac:dyDescent="0.25">
      <c r="L81" s="541" t="s">
        <v>341</v>
      </c>
    </row>
    <row r="82" spans="1:669" s="38" customFormat="1" ht="16.5" thickBot="1" x14ac:dyDescent="0.3">
      <c r="A82" s="41"/>
      <c r="B82" s="42"/>
      <c r="C82" s="42"/>
      <c r="D82" s="42"/>
      <c r="E82" s="42"/>
      <c r="F82" s="42"/>
      <c r="G82" s="42"/>
      <c r="H82" s="42"/>
      <c r="I82" s="42"/>
      <c r="J82" s="42"/>
      <c r="K82" s="42"/>
      <c r="L82" s="399">
        <f>L80+J61</f>
        <v>101263</v>
      </c>
      <c r="M82" s="537"/>
      <c r="N82" s="21"/>
      <c r="O82" s="21"/>
      <c r="P82" s="21"/>
      <c r="Q82" s="21"/>
      <c r="R82" s="21"/>
      <c r="S82" s="21"/>
      <c r="T82" s="21"/>
      <c r="U82" s="21"/>
      <c r="V82" s="21"/>
      <c r="W82" s="21"/>
      <c r="X82" s="21"/>
      <c r="Y82" s="21"/>
      <c r="Z82" s="21"/>
      <c r="AA82" s="21"/>
      <c r="AB82" s="7"/>
      <c r="AC82" s="7"/>
      <c r="AD82" s="7"/>
      <c r="AE82" s="7"/>
      <c r="AF82" s="7"/>
      <c r="AG82" s="7"/>
      <c r="AH82" s="7"/>
      <c r="AI82" s="7"/>
      <c r="AJ82" s="7"/>
      <c r="AK82" s="7"/>
      <c r="AL82" s="7"/>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row>
    <row r="83" spans="1:669" s="40" customFormat="1" ht="31.5" hidden="1" x14ac:dyDescent="0.25">
      <c r="A83" s="43"/>
      <c r="B83" s="39"/>
      <c r="C83" s="39"/>
      <c r="D83" s="39"/>
      <c r="E83" s="39"/>
      <c r="F83" s="39"/>
      <c r="G83" s="116" t="s">
        <v>169</v>
      </c>
      <c r="H83" s="117" t="s">
        <v>161</v>
      </c>
      <c r="I83" s="117" t="s">
        <v>96</v>
      </c>
      <c r="J83" s="117" t="s">
        <v>53</v>
      </c>
      <c r="K83" s="118" t="s">
        <v>41</v>
      </c>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30"/>
      <c r="FU83" s="30"/>
      <c r="FV83" s="30"/>
      <c r="FW83" s="30"/>
      <c r="FX83" s="30"/>
      <c r="FY83" s="30"/>
      <c r="FZ83" s="30"/>
      <c r="GA83" s="30"/>
      <c r="GB83" s="30"/>
      <c r="GC83" s="30"/>
      <c r="GD83" s="30"/>
      <c r="GE83" s="30"/>
      <c r="GF83" s="30"/>
      <c r="GG83" s="30"/>
      <c r="GH83" s="30"/>
      <c r="GI83" s="30"/>
      <c r="GJ83" s="30"/>
      <c r="GK83" s="30"/>
      <c r="GL83" s="30"/>
      <c r="GM83" s="30"/>
      <c r="GN83" s="30"/>
      <c r="GO83" s="30"/>
      <c r="GP83" s="30"/>
      <c r="GQ83" s="30"/>
      <c r="GR83" s="30"/>
      <c r="GS83" s="30"/>
      <c r="GT83" s="30"/>
      <c r="GU83" s="30"/>
      <c r="GV83" s="30"/>
      <c r="GW83" s="30"/>
      <c r="GX83" s="30"/>
      <c r="GY83" s="30"/>
      <c r="GZ83" s="30"/>
      <c r="HA83" s="30"/>
      <c r="HB83" s="30"/>
      <c r="HC83" s="30"/>
      <c r="HD83" s="30"/>
      <c r="HE83" s="30"/>
      <c r="HF83" s="30"/>
      <c r="HG83" s="30"/>
      <c r="HH83" s="30"/>
      <c r="HI83" s="30"/>
      <c r="HJ83" s="30"/>
      <c r="HK83" s="30"/>
      <c r="HL83" s="30"/>
      <c r="HM83" s="30"/>
      <c r="HN83" s="30"/>
      <c r="HO83" s="30"/>
      <c r="HP83" s="30"/>
      <c r="HQ83" s="30"/>
      <c r="HR83" s="30"/>
      <c r="HS83" s="30"/>
      <c r="HT83" s="30"/>
      <c r="HU83" s="30"/>
      <c r="HV83" s="30"/>
      <c r="HW83" s="30"/>
      <c r="HX83" s="30"/>
      <c r="HY83" s="30"/>
      <c r="HZ83" s="30"/>
      <c r="IA83" s="30"/>
      <c r="IB83" s="30"/>
      <c r="IC83" s="30"/>
      <c r="ID83" s="30"/>
      <c r="IE83" s="30"/>
      <c r="IF83" s="30"/>
      <c r="IG83" s="30"/>
      <c r="IH83" s="30"/>
      <c r="II83" s="30"/>
      <c r="IJ83" s="30"/>
      <c r="IK83" s="30"/>
      <c r="IL83" s="30"/>
      <c r="IM83" s="30"/>
      <c r="IN83" s="30"/>
      <c r="IO83" s="30"/>
      <c r="IP83" s="30"/>
      <c r="IQ83" s="30"/>
      <c r="IR83" s="30"/>
      <c r="IS83" s="30"/>
      <c r="IT83" s="30"/>
      <c r="IU83" s="30"/>
      <c r="IV83" s="30"/>
      <c r="IW83" s="30"/>
      <c r="IX83" s="30"/>
      <c r="IY83" s="30"/>
      <c r="IZ83" s="30"/>
      <c r="JA83" s="30"/>
      <c r="JB83" s="30"/>
      <c r="JC83" s="30"/>
      <c r="JD83" s="30"/>
      <c r="JE83" s="30"/>
      <c r="JF83" s="30"/>
      <c r="JG83" s="30"/>
      <c r="JH83" s="30"/>
      <c r="JI83" s="30"/>
      <c r="JJ83" s="30"/>
      <c r="JK83" s="30"/>
      <c r="JL83" s="30"/>
      <c r="JM83" s="30"/>
      <c r="JN83" s="30"/>
      <c r="JO83" s="30"/>
      <c r="JP83" s="30"/>
      <c r="JQ83" s="30"/>
      <c r="JR83" s="30"/>
      <c r="JS83" s="30"/>
      <c r="JT83" s="30"/>
      <c r="JU83" s="30"/>
      <c r="JV83" s="30"/>
      <c r="JW83" s="30"/>
      <c r="JX83" s="30"/>
      <c r="JY83" s="30"/>
      <c r="JZ83" s="30"/>
      <c r="KA83" s="30"/>
      <c r="KB83" s="30"/>
      <c r="KC83" s="30"/>
      <c r="KD83" s="30"/>
      <c r="KE83" s="30"/>
      <c r="KF83" s="30"/>
      <c r="KG83" s="30"/>
      <c r="KH83" s="30"/>
      <c r="KI83" s="30"/>
      <c r="KJ83" s="30"/>
      <c r="KK83" s="30"/>
      <c r="KL83" s="30"/>
      <c r="KM83" s="30"/>
      <c r="KN83" s="30"/>
      <c r="KO83" s="30"/>
      <c r="KP83" s="30"/>
      <c r="KQ83" s="30"/>
      <c r="KR83" s="30"/>
      <c r="KS83" s="30"/>
      <c r="KT83" s="30"/>
      <c r="KU83" s="30"/>
      <c r="KV83" s="30"/>
      <c r="KW83" s="30"/>
      <c r="KX83" s="30"/>
      <c r="KY83" s="30"/>
      <c r="KZ83" s="30"/>
      <c r="LA83" s="30"/>
      <c r="LB83" s="30"/>
      <c r="LC83" s="30"/>
      <c r="LD83" s="30"/>
      <c r="LE83" s="30"/>
      <c r="LF83" s="30"/>
      <c r="LG83" s="30"/>
      <c r="LH83" s="30"/>
      <c r="LI83" s="30"/>
      <c r="LJ83" s="30"/>
      <c r="LK83" s="30"/>
      <c r="LL83" s="30"/>
      <c r="LM83" s="30"/>
      <c r="LN83" s="30"/>
      <c r="LO83" s="30"/>
      <c r="LP83" s="30"/>
      <c r="LQ83" s="30"/>
      <c r="LR83" s="30"/>
      <c r="LS83" s="30"/>
      <c r="LT83" s="30"/>
      <c r="LU83" s="30"/>
      <c r="LV83" s="30"/>
      <c r="LW83" s="30"/>
      <c r="LX83" s="30"/>
      <c r="LY83" s="30"/>
      <c r="LZ83" s="30"/>
      <c r="MA83" s="30"/>
      <c r="MB83" s="30"/>
      <c r="MC83" s="30"/>
      <c r="MD83" s="30"/>
      <c r="ME83" s="30"/>
      <c r="MF83" s="30"/>
      <c r="MG83" s="30"/>
      <c r="MH83" s="30"/>
      <c r="MI83" s="30"/>
      <c r="MJ83" s="30"/>
      <c r="MK83" s="30"/>
      <c r="ML83" s="30"/>
      <c r="MM83" s="30"/>
      <c r="MN83" s="30"/>
      <c r="MO83" s="30"/>
      <c r="MP83" s="30"/>
      <c r="MQ83" s="30"/>
      <c r="MR83" s="30"/>
      <c r="MS83" s="30"/>
      <c r="MT83" s="30"/>
      <c r="MU83" s="30"/>
      <c r="MV83" s="30"/>
      <c r="MW83" s="30"/>
      <c r="MX83" s="30"/>
      <c r="MY83" s="30"/>
      <c r="MZ83" s="30"/>
      <c r="NA83" s="30"/>
      <c r="NB83" s="30"/>
      <c r="NC83" s="30"/>
      <c r="ND83" s="30"/>
      <c r="NE83" s="30"/>
      <c r="NF83" s="30"/>
      <c r="NG83" s="30"/>
      <c r="NH83" s="30"/>
      <c r="NI83" s="30"/>
      <c r="NJ83" s="30"/>
      <c r="NK83" s="30"/>
      <c r="NL83" s="30"/>
      <c r="NM83" s="30"/>
      <c r="NN83" s="30"/>
      <c r="NO83" s="30"/>
      <c r="NP83" s="30"/>
      <c r="NQ83" s="30"/>
      <c r="NR83" s="30"/>
      <c r="NS83" s="30"/>
      <c r="NT83" s="30"/>
      <c r="NU83" s="30"/>
      <c r="NV83" s="30"/>
      <c r="NW83" s="30"/>
      <c r="NX83" s="30"/>
      <c r="NY83" s="30"/>
      <c r="NZ83" s="30"/>
      <c r="OA83" s="30"/>
      <c r="OB83" s="30"/>
      <c r="OC83" s="30"/>
      <c r="OD83" s="30"/>
      <c r="OE83" s="30"/>
      <c r="OF83" s="30"/>
      <c r="OG83" s="30"/>
      <c r="OH83" s="30"/>
      <c r="OI83" s="30"/>
      <c r="OJ83" s="30"/>
      <c r="OK83" s="30"/>
      <c r="OL83" s="30"/>
      <c r="OM83" s="30"/>
      <c r="ON83" s="30"/>
      <c r="OO83" s="30"/>
      <c r="OP83" s="30"/>
      <c r="OQ83" s="30"/>
      <c r="OR83" s="30"/>
      <c r="OS83" s="30"/>
      <c r="OT83" s="30"/>
      <c r="OU83" s="30"/>
      <c r="OV83" s="30"/>
      <c r="OW83" s="30"/>
      <c r="OX83" s="30"/>
      <c r="OY83" s="30"/>
      <c r="OZ83" s="30"/>
      <c r="PA83" s="30"/>
      <c r="PB83" s="30"/>
      <c r="PC83" s="30"/>
      <c r="PD83" s="30"/>
      <c r="PE83" s="30"/>
      <c r="PF83" s="30"/>
      <c r="PG83" s="30"/>
      <c r="PH83" s="30"/>
      <c r="PI83" s="30"/>
      <c r="PJ83" s="30"/>
      <c r="PK83" s="30"/>
      <c r="PL83" s="30"/>
      <c r="PM83" s="30"/>
      <c r="PN83" s="30"/>
      <c r="PO83" s="30"/>
      <c r="PP83" s="30"/>
      <c r="PQ83" s="30"/>
      <c r="PR83" s="30"/>
      <c r="PS83" s="30"/>
      <c r="PT83" s="30"/>
      <c r="PU83" s="30"/>
      <c r="PV83" s="30"/>
      <c r="PW83" s="30"/>
      <c r="PX83" s="30"/>
      <c r="PY83" s="30"/>
      <c r="PZ83" s="30"/>
      <c r="QA83" s="30"/>
      <c r="QB83" s="30"/>
      <c r="QC83" s="30"/>
      <c r="QD83" s="30"/>
      <c r="QE83" s="30"/>
      <c r="QF83" s="30"/>
      <c r="QG83" s="30"/>
      <c r="QH83" s="30"/>
      <c r="QI83" s="30"/>
      <c r="QJ83" s="30"/>
      <c r="QK83" s="30"/>
      <c r="QL83" s="30"/>
      <c r="QM83" s="30"/>
      <c r="QN83" s="30"/>
      <c r="QO83" s="30"/>
      <c r="QP83" s="30"/>
      <c r="QQ83" s="30"/>
      <c r="QR83" s="30"/>
      <c r="QS83" s="30"/>
      <c r="QT83" s="30"/>
      <c r="QU83" s="30"/>
      <c r="QV83" s="30"/>
      <c r="QW83" s="30"/>
      <c r="QX83" s="30"/>
      <c r="QY83" s="30"/>
      <c r="QZ83" s="30"/>
      <c r="RA83" s="30"/>
      <c r="RB83" s="30"/>
      <c r="RC83" s="30"/>
      <c r="RD83" s="30"/>
      <c r="RE83" s="30"/>
      <c r="RF83" s="30"/>
      <c r="RG83" s="30"/>
      <c r="RH83" s="30"/>
      <c r="RI83" s="30"/>
      <c r="RJ83" s="30"/>
      <c r="RK83" s="30"/>
      <c r="RL83" s="30"/>
      <c r="RM83" s="30"/>
      <c r="RN83" s="30"/>
      <c r="RO83" s="30"/>
      <c r="RP83" s="30"/>
      <c r="RQ83" s="30"/>
      <c r="RR83" s="30"/>
      <c r="RS83" s="30"/>
      <c r="RT83" s="30"/>
      <c r="RU83" s="30"/>
      <c r="RV83" s="30"/>
      <c r="RW83" s="30"/>
      <c r="RX83" s="30"/>
      <c r="RY83" s="30"/>
      <c r="RZ83" s="30"/>
      <c r="SA83" s="30"/>
      <c r="SB83" s="30"/>
      <c r="SC83" s="30"/>
      <c r="SD83" s="30"/>
      <c r="SE83" s="30"/>
      <c r="SF83" s="30"/>
      <c r="SG83" s="30"/>
      <c r="SH83" s="30"/>
      <c r="SI83" s="30"/>
      <c r="SJ83" s="30"/>
      <c r="SK83" s="30"/>
      <c r="SL83" s="30"/>
      <c r="SM83" s="30"/>
      <c r="SN83" s="30"/>
      <c r="SO83" s="30"/>
      <c r="SP83" s="30"/>
      <c r="SQ83" s="30"/>
      <c r="SR83" s="30"/>
      <c r="SS83" s="30"/>
      <c r="ST83" s="30"/>
      <c r="SU83" s="30"/>
      <c r="SV83" s="30"/>
      <c r="SW83" s="30"/>
      <c r="SX83" s="30"/>
      <c r="SY83" s="30"/>
      <c r="SZ83" s="30"/>
      <c r="TA83" s="30"/>
      <c r="TB83" s="30"/>
      <c r="TC83" s="30"/>
      <c r="TD83" s="30"/>
      <c r="TE83" s="30"/>
      <c r="TF83" s="30"/>
      <c r="TG83" s="30"/>
      <c r="TH83" s="30"/>
      <c r="TI83" s="30"/>
      <c r="TJ83" s="30"/>
      <c r="TK83" s="30"/>
      <c r="TL83" s="30"/>
      <c r="TM83" s="30"/>
      <c r="TN83" s="30"/>
      <c r="TO83" s="30"/>
      <c r="TP83" s="30"/>
      <c r="TQ83" s="30"/>
      <c r="TR83" s="30"/>
      <c r="TS83" s="30"/>
      <c r="TT83" s="30"/>
      <c r="TU83" s="30"/>
      <c r="TV83" s="30"/>
      <c r="TW83" s="30"/>
      <c r="TX83" s="30"/>
      <c r="TY83" s="30"/>
      <c r="TZ83" s="30"/>
      <c r="UA83" s="30"/>
      <c r="UB83" s="30"/>
      <c r="UC83" s="30"/>
      <c r="UD83" s="30"/>
      <c r="UE83" s="30"/>
      <c r="UF83" s="30"/>
      <c r="UG83" s="30"/>
      <c r="UH83" s="30"/>
      <c r="UI83" s="30"/>
      <c r="UJ83" s="30"/>
      <c r="UK83" s="30"/>
      <c r="UL83" s="30"/>
      <c r="UM83" s="30"/>
      <c r="UN83" s="30"/>
      <c r="UO83" s="30"/>
      <c r="UP83" s="30"/>
      <c r="UQ83" s="30"/>
      <c r="UR83" s="30"/>
      <c r="US83" s="30"/>
      <c r="UT83" s="30"/>
      <c r="UU83" s="30"/>
      <c r="UV83" s="30"/>
      <c r="UW83" s="30"/>
      <c r="UX83" s="30"/>
      <c r="UY83" s="30"/>
      <c r="UZ83" s="30"/>
      <c r="VA83" s="30"/>
      <c r="VB83" s="30"/>
      <c r="VC83" s="30"/>
      <c r="VD83" s="30"/>
      <c r="VE83" s="30"/>
      <c r="VF83" s="30"/>
      <c r="VG83" s="30"/>
      <c r="VH83" s="30"/>
      <c r="VI83" s="30"/>
      <c r="VJ83" s="30"/>
      <c r="VK83" s="30"/>
      <c r="VL83" s="30"/>
      <c r="VM83" s="30"/>
      <c r="VN83" s="30"/>
      <c r="VO83" s="30"/>
      <c r="VP83" s="30"/>
      <c r="VQ83" s="30"/>
      <c r="VR83" s="30"/>
      <c r="VS83" s="30"/>
      <c r="VT83" s="30"/>
      <c r="VU83" s="30"/>
      <c r="VV83" s="30"/>
      <c r="VW83" s="30"/>
      <c r="VX83" s="30"/>
      <c r="VY83" s="30"/>
      <c r="VZ83" s="30"/>
      <c r="WA83" s="30"/>
      <c r="WB83" s="30"/>
      <c r="WC83" s="30"/>
      <c r="WD83" s="30"/>
      <c r="WE83" s="30"/>
      <c r="WF83" s="30"/>
      <c r="WG83" s="30"/>
      <c r="WH83" s="30"/>
      <c r="WI83" s="30"/>
      <c r="WJ83" s="30"/>
      <c r="WK83" s="30"/>
      <c r="WL83" s="30"/>
      <c r="WM83" s="30"/>
      <c r="WN83" s="30"/>
      <c r="WO83" s="30"/>
      <c r="WP83" s="30"/>
      <c r="WQ83" s="30"/>
      <c r="WR83" s="30"/>
      <c r="WS83" s="30"/>
      <c r="WT83" s="30"/>
      <c r="WU83" s="30"/>
      <c r="WV83" s="30"/>
      <c r="WW83" s="30"/>
      <c r="WX83" s="30"/>
      <c r="WY83" s="30"/>
      <c r="WZ83" s="30"/>
      <c r="XA83" s="30"/>
      <c r="XB83" s="30"/>
      <c r="XC83" s="30"/>
      <c r="XD83" s="30"/>
      <c r="XE83" s="30"/>
      <c r="XF83" s="30"/>
      <c r="XG83" s="30"/>
      <c r="XH83" s="30"/>
      <c r="XI83" s="30"/>
      <c r="XJ83" s="30"/>
      <c r="XK83" s="30"/>
      <c r="XL83" s="30"/>
      <c r="XM83" s="30"/>
      <c r="XN83" s="30"/>
      <c r="XO83" s="30"/>
      <c r="XP83" s="30"/>
      <c r="XQ83" s="30"/>
      <c r="XR83" s="30"/>
      <c r="XS83" s="30"/>
      <c r="XT83" s="30"/>
      <c r="XU83" s="30"/>
      <c r="XV83" s="30"/>
      <c r="XW83" s="30"/>
      <c r="XX83" s="30"/>
      <c r="XY83" s="30"/>
      <c r="XZ83" s="30"/>
      <c r="YA83" s="30"/>
      <c r="YB83" s="30"/>
      <c r="YC83" s="30"/>
      <c r="YD83" s="30"/>
      <c r="YE83" s="30"/>
      <c r="YF83" s="30"/>
      <c r="YG83" s="30"/>
      <c r="YH83" s="30"/>
      <c r="YI83" s="30"/>
      <c r="YJ83" s="30"/>
      <c r="YK83" s="30"/>
      <c r="YL83" s="30"/>
      <c r="YM83" s="30"/>
      <c r="YN83" s="30"/>
      <c r="YO83" s="30"/>
      <c r="YP83" s="30"/>
      <c r="YQ83" s="30"/>
      <c r="YR83" s="30"/>
      <c r="YS83" s="30"/>
    </row>
    <row r="84" spans="1:669" s="33" customFormat="1" ht="20.25" hidden="1" customHeight="1" x14ac:dyDescent="0.2">
      <c r="A84" s="277" t="s">
        <v>70</v>
      </c>
      <c r="B84" s="843" t="s">
        <v>40</v>
      </c>
      <c r="C84" s="843"/>
      <c r="D84" s="843"/>
      <c r="E84" s="843"/>
      <c r="F84" s="278"/>
      <c r="G84" s="278" t="e">
        <f>104647.76-#REF!-1250-1250</f>
        <v>#REF!</v>
      </c>
      <c r="H84" s="278">
        <f>90450.47-J84-H87</f>
        <v>63478.240000000005</v>
      </c>
      <c r="I84" s="278">
        <f>H72</f>
        <v>5893.7</v>
      </c>
      <c r="J84" s="278">
        <f>'April''24 AR Aging '!G43</f>
        <v>26972.23</v>
      </c>
      <c r="K84" s="279" t="e">
        <f>+I84+J84+H84-G84</f>
        <v>#REF!</v>
      </c>
      <c r="L84" s="36"/>
      <c r="M84" s="36"/>
      <c r="N84" s="21"/>
      <c r="O84" s="21"/>
      <c r="P84" s="21"/>
      <c r="Q84" s="21"/>
      <c r="R84" s="21"/>
      <c r="S84" s="21"/>
      <c r="T84" s="21"/>
      <c r="U84"/>
      <c r="V84" s="21"/>
      <c r="W84" s="21"/>
      <c r="X84" s="21"/>
      <c r="Y84" s="21"/>
      <c r="Z84" s="21"/>
      <c r="AA84" s="21"/>
      <c r="AB84" s="7"/>
      <c r="AC84" s="7"/>
      <c r="AD84" s="7"/>
      <c r="AE84" s="7"/>
      <c r="AF84" s="7"/>
      <c r="AG84" s="7"/>
      <c r="AH84" s="7"/>
      <c r="AI84" s="7"/>
      <c r="AJ84" s="7"/>
      <c r="AK84" s="7"/>
      <c r="AL84" s="7"/>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row>
    <row r="85" spans="1:669" s="19" customFormat="1" hidden="1" x14ac:dyDescent="0.2">
      <c r="A85" s="280" t="s">
        <v>32</v>
      </c>
      <c r="B85" s="842" t="s">
        <v>29</v>
      </c>
      <c r="C85" s="842"/>
      <c r="D85" s="842"/>
      <c r="E85" s="842"/>
      <c r="F85" s="275"/>
      <c r="G85" s="275"/>
      <c r="H85" s="275">
        <v>0</v>
      </c>
      <c r="I85" s="276"/>
      <c r="J85" s="275">
        <v>0</v>
      </c>
      <c r="K85" s="281"/>
      <c r="L85" s="257"/>
      <c r="M85" s="257">
        <v>0</v>
      </c>
      <c r="N85" s="21"/>
      <c r="O85" s="21"/>
      <c r="P85" s="21"/>
      <c r="Q85" s="21"/>
      <c r="R85" s="21"/>
      <c r="S85" s="21"/>
      <c r="T85" s="21"/>
      <c r="U85"/>
      <c r="V85" s="21"/>
      <c r="W85" s="21"/>
      <c r="X85" s="21"/>
      <c r="Y85" s="21"/>
      <c r="Z85" s="21"/>
      <c r="AA85" s="21"/>
      <c r="AB85" s="7"/>
      <c r="AC85" s="7"/>
      <c r="AD85" s="7"/>
      <c r="AE85" s="7"/>
      <c r="AF85" s="7"/>
      <c r="AG85" s="7"/>
      <c r="AH85" s="7"/>
      <c r="AI85" s="7"/>
      <c r="AJ85" s="7"/>
      <c r="AK85" s="7"/>
      <c r="AL85" s="7"/>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row>
    <row r="86" spans="1:669" hidden="1" x14ac:dyDescent="0.2">
      <c r="A86" s="280" t="s">
        <v>20</v>
      </c>
      <c r="B86" s="844" t="s">
        <v>146</v>
      </c>
      <c r="C86" s="845"/>
      <c r="D86" s="845"/>
      <c r="E86" s="846"/>
      <c r="F86" s="275"/>
      <c r="G86" s="275"/>
      <c r="H86" s="275"/>
      <c r="I86" s="276"/>
      <c r="J86" s="275"/>
      <c r="K86" s="281"/>
      <c r="L86" s="257"/>
      <c r="M86" s="257"/>
      <c r="U86"/>
    </row>
    <row r="87" spans="1:669" ht="15" hidden="1" thickBot="1" x14ac:dyDescent="0.25">
      <c r="A87" s="282" t="s">
        <v>145</v>
      </c>
      <c r="B87" s="838" t="s">
        <v>40</v>
      </c>
      <c r="C87" s="838"/>
      <c r="D87" s="838"/>
      <c r="E87" s="838"/>
      <c r="F87" s="283"/>
      <c r="G87" s="283"/>
      <c r="H87" s="283">
        <v>0</v>
      </c>
      <c r="I87" s="283"/>
      <c r="J87" s="283"/>
      <c r="K87" s="284"/>
      <c r="L87" s="36"/>
      <c r="M87" s="36"/>
      <c r="U87"/>
    </row>
    <row r="88" spans="1:669" hidden="1" x14ac:dyDescent="0.2">
      <c r="F88" s="190"/>
      <c r="G88" s="190"/>
      <c r="H88" s="190"/>
      <c r="I88" s="190"/>
      <c r="J88" s="190">
        <f>J84+I80+H36+J87</f>
        <v>274969.39999999997</v>
      </c>
      <c r="K88" s="190" t="s">
        <v>46</v>
      </c>
    </row>
    <row r="89" spans="1:669" hidden="1" x14ac:dyDescent="0.2">
      <c r="F89" s="190"/>
      <c r="G89" s="190"/>
      <c r="H89" s="190"/>
      <c r="I89" s="190"/>
      <c r="J89" s="179">
        <f>'April''24 AR Aging '!G73</f>
        <v>318999.39999999997</v>
      </c>
      <c r="K89" s="190" t="s">
        <v>443</v>
      </c>
    </row>
    <row r="90" spans="1:669" ht="15" hidden="1" customHeight="1" thickBot="1" x14ac:dyDescent="0.25">
      <c r="F90" s="190"/>
      <c r="G90" s="190"/>
      <c r="H90" s="190"/>
      <c r="I90" s="190"/>
      <c r="J90" s="557">
        <f>J89-J88</f>
        <v>44030</v>
      </c>
      <c r="K90" s="190" t="s">
        <v>385</v>
      </c>
    </row>
    <row r="91" spans="1:669" ht="15" hidden="1" customHeight="1" thickTop="1" x14ac:dyDescent="0.2">
      <c r="C91" s="5"/>
      <c r="E91" s="4"/>
    </row>
    <row r="92" spans="1:669" hidden="1" x14ac:dyDescent="0.2"/>
    <row r="93" spans="1:669" hidden="1" x14ac:dyDescent="0.2"/>
    <row r="100" spans="1:5" x14ac:dyDescent="0.2">
      <c r="A100" s="6"/>
      <c r="E100" s="4"/>
    </row>
  </sheetData>
  <mergeCells count="33">
    <mergeCell ref="B76:E76"/>
    <mergeCell ref="B44:C44"/>
    <mergeCell ref="B46:C46"/>
    <mergeCell ref="B47:C47"/>
    <mergeCell ref="B56:C56"/>
    <mergeCell ref="B59:C59"/>
    <mergeCell ref="B53:C53"/>
    <mergeCell ref="B49:C49"/>
    <mergeCell ref="B50:C50"/>
    <mergeCell ref="B48:C48"/>
    <mergeCell ref="B52:C52"/>
    <mergeCell ref="B87:E87"/>
    <mergeCell ref="B77:E77"/>
    <mergeCell ref="B85:E85"/>
    <mergeCell ref="B79:E79"/>
    <mergeCell ref="B84:E84"/>
    <mergeCell ref="B86:E86"/>
    <mergeCell ref="B40:C40"/>
    <mergeCell ref="B75:E75"/>
    <mergeCell ref="B64:E64"/>
    <mergeCell ref="B42:C42"/>
    <mergeCell ref="B58:C58"/>
    <mergeCell ref="B60:C60"/>
    <mergeCell ref="B72:E72"/>
    <mergeCell ref="B74:E74"/>
    <mergeCell ref="B41:C41"/>
    <mergeCell ref="B68:E68"/>
    <mergeCell ref="B43:C43"/>
    <mergeCell ref="B55:C55"/>
    <mergeCell ref="B45:C45"/>
    <mergeCell ref="B51:C51"/>
    <mergeCell ref="B69:E69"/>
    <mergeCell ref="B54:C54"/>
  </mergeCells>
  <pageMargins left="0.45" right="0" top="0.75" bottom="0" header="0.3" footer="0.05"/>
  <pageSetup paperSize="5"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YG283"/>
  <sheetViews>
    <sheetView topLeftCell="A60" zoomScale="68" zoomScaleNormal="68" workbookViewId="0">
      <selection activeCell="C96" sqref="C96"/>
    </sheetView>
  </sheetViews>
  <sheetFormatPr defaultRowHeight="14.25" x14ac:dyDescent="0.2"/>
  <cols>
    <col min="1" max="1" width="1.875" style="45" customWidth="1"/>
    <col min="2" max="2" width="55.875" style="45" customWidth="1"/>
    <col min="3" max="5" width="17.125" style="91" customWidth="1"/>
    <col min="6" max="6" width="18.75" style="91" customWidth="1"/>
    <col min="7" max="7" width="16.875" style="504" customWidth="1"/>
    <col min="8" max="8" width="11.75" customWidth="1"/>
    <col min="9" max="9" width="19.25" style="21" bestFit="1" customWidth="1"/>
    <col min="251" max="251" width="2.875" customWidth="1"/>
    <col min="252" max="252" width="49" customWidth="1"/>
    <col min="253" max="253" width="16.875" bestFit="1" customWidth="1"/>
    <col min="254" max="254" width="13.625" bestFit="1" customWidth="1"/>
    <col min="255" max="255" width="15.375" bestFit="1" customWidth="1"/>
    <col min="256" max="256" width="7.5" bestFit="1" customWidth="1"/>
    <col min="257" max="257" width="15.25" customWidth="1"/>
    <col min="258" max="258" width="7.5" bestFit="1" customWidth="1"/>
    <col min="259" max="259" width="15.375" bestFit="1" customWidth="1"/>
    <col min="260" max="260" width="7.5" bestFit="1" customWidth="1"/>
    <col min="261" max="261" width="15.375" bestFit="1" customWidth="1"/>
    <col min="262" max="262" width="7.5" bestFit="1" customWidth="1"/>
    <col min="263" max="263" width="16.875" bestFit="1" customWidth="1"/>
    <col min="507" max="507" width="2.875" customWidth="1"/>
    <col min="508" max="508" width="49" customWidth="1"/>
    <col min="509" max="509" width="16.875" bestFit="1" customWidth="1"/>
    <col min="510" max="510" width="13.625" bestFit="1" customWidth="1"/>
    <col min="511" max="511" width="15.375" bestFit="1" customWidth="1"/>
    <col min="512" max="512" width="7.5" bestFit="1" customWidth="1"/>
    <col min="513" max="513" width="15.25" customWidth="1"/>
    <col min="514" max="514" width="7.5" bestFit="1" customWidth="1"/>
    <col min="515" max="515" width="15.375" bestFit="1" customWidth="1"/>
    <col min="516" max="516" width="7.5" bestFit="1" customWidth="1"/>
    <col min="517" max="517" width="15.375" bestFit="1" customWidth="1"/>
    <col min="518" max="518" width="7.5" bestFit="1" customWidth="1"/>
    <col min="519" max="519" width="16.875" bestFit="1" customWidth="1"/>
    <col min="763" max="763" width="2.875" customWidth="1"/>
    <col min="764" max="764" width="49" customWidth="1"/>
    <col min="765" max="765" width="16.875" bestFit="1" customWidth="1"/>
    <col min="766" max="766" width="13.625" bestFit="1" customWidth="1"/>
    <col min="767" max="767" width="15.375" bestFit="1" customWidth="1"/>
    <col min="768" max="768" width="7.5" bestFit="1" customWidth="1"/>
    <col min="769" max="769" width="15.25" customWidth="1"/>
    <col min="770" max="770" width="7.5" bestFit="1" customWidth="1"/>
    <col min="771" max="771" width="15.375" bestFit="1" customWidth="1"/>
    <col min="772" max="772" width="7.5" bestFit="1" customWidth="1"/>
    <col min="773" max="773" width="15.375" bestFit="1" customWidth="1"/>
    <col min="774" max="774" width="7.5" bestFit="1" customWidth="1"/>
    <col min="775" max="775" width="16.875" bestFit="1" customWidth="1"/>
    <col min="1019" max="1019" width="2.875" customWidth="1"/>
    <col min="1020" max="1020" width="49" customWidth="1"/>
    <col min="1021" max="1021" width="16.875" bestFit="1" customWidth="1"/>
    <col min="1022" max="1022" width="13.625" bestFit="1" customWidth="1"/>
    <col min="1023" max="1023" width="15.375" bestFit="1" customWidth="1"/>
    <col min="1024" max="1024" width="7.5" bestFit="1" customWidth="1"/>
    <col min="1025" max="1025" width="15.25" customWidth="1"/>
    <col min="1026" max="1026" width="7.5" bestFit="1" customWidth="1"/>
    <col min="1027" max="1027" width="15.375" bestFit="1" customWidth="1"/>
    <col min="1028" max="1028" width="7.5" bestFit="1" customWidth="1"/>
    <col min="1029" max="1029" width="15.375" bestFit="1" customWidth="1"/>
    <col min="1030" max="1030" width="7.5" bestFit="1" customWidth="1"/>
    <col min="1031" max="1031" width="16.875" bestFit="1" customWidth="1"/>
    <col min="1275" max="1275" width="2.875" customWidth="1"/>
    <col min="1276" max="1276" width="49" customWidth="1"/>
    <col min="1277" max="1277" width="16.875" bestFit="1" customWidth="1"/>
    <col min="1278" max="1278" width="13.625" bestFit="1" customWidth="1"/>
    <col min="1279" max="1279" width="15.375" bestFit="1" customWidth="1"/>
    <col min="1280" max="1280" width="7.5" bestFit="1" customWidth="1"/>
    <col min="1281" max="1281" width="15.25" customWidth="1"/>
    <col min="1282" max="1282" width="7.5" bestFit="1" customWidth="1"/>
    <col min="1283" max="1283" width="15.375" bestFit="1" customWidth="1"/>
    <col min="1284" max="1284" width="7.5" bestFit="1" customWidth="1"/>
    <col min="1285" max="1285" width="15.375" bestFit="1" customWidth="1"/>
    <col min="1286" max="1286" width="7.5" bestFit="1" customWidth="1"/>
    <col min="1287" max="1287" width="16.875" bestFit="1" customWidth="1"/>
    <col min="1531" max="1531" width="2.875" customWidth="1"/>
    <col min="1532" max="1532" width="49" customWidth="1"/>
    <col min="1533" max="1533" width="16.875" bestFit="1" customWidth="1"/>
    <col min="1534" max="1534" width="13.625" bestFit="1" customWidth="1"/>
    <col min="1535" max="1535" width="15.375" bestFit="1" customWidth="1"/>
    <col min="1536" max="1536" width="7.5" bestFit="1" customWidth="1"/>
    <col min="1537" max="1537" width="15.25" customWidth="1"/>
    <col min="1538" max="1538" width="7.5" bestFit="1" customWidth="1"/>
    <col min="1539" max="1539" width="15.375" bestFit="1" customWidth="1"/>
    <col min="1540" max="1540" width="7.5" bestFit="1" customWidth="1"/>
    <col min="1541" max="1541" width="15.375" bestFit="1" customWidth="1"/>
    <col min="1542" max="1542" width="7.5" bestFit="1" customWidth="1"/>
    <col min="1543" max="1543" width="16.875" bestFit="1" customWidth="1"/>
    <col min="1787" max="1787" width="2.875" customWidth="1"/>
    <col min="1788" max="1788" width="49" customWidth="1"/>
    <col min="1789" max="1789" width="16.875" bestFit="1" customWidth="1"/>
    <col min="1790" max="1790" width="13.625" bestFit="1" customWidth="1"/>
    <col min="1791" max="1791" width="15.375" bestFit="1" customWidth="1"/>
    <col min="1792" max="1792" width="7.5" bestFit="1" customWidth="1"/>
    <col min="1793" max="1793" width="15.25" customWidth="1"/>
    <col min="1794" max="1794" width="7.5" bestFit="1" customWidth="1"/>
    <col min="1795" max="1795" width="15.375" bestFit="1" customWidth="1"/>
    <col min="1796" max="1796" width="7.5" bestFit="1" customWidth="1"/>
    <col min="1797" max="1797" width="15.375" bestFit="1" customWidth="1"/>
    <col min="1798" max="1798" width="7.5" bestFit="1" customWidth="1"/>
    <col min="1799" max="1799" width="16.875" bestFit="1" customWidth="1"/>
    <col min="2043" max="2043" width="2.875" customWidth="1"/>
    <col min="2044" max="2044" width="49" customWidth="1"/>
    <col min="2045" max="2045" width="16.875" bestFit="1" customWidth="1"/>
    <col min="2046" max="2046" width="13.625" bestFit="1" customWidth="1"/>
    <col min="2047" max="2047" width="15.375" bestFit="1" customWidth="1"/>
    <col min="2048" max="2048" width="7.5" bestFit="1" customWidth="1"/>
    <col min="2049" max="2049" width="15.25" customWidth="1"/>
    <col min="2050" max="2050" width="7.5" bestFit="1" customWidth="1"/>
    <col min="2051" max="2051" width="15.375" bestFit="1" customWidth="1"/>
    <col min="2052" max="2052" width="7.5" bestFit="1" customWidth="1"/>
    <col min="2053" max="2053" width="15.375" bestFit="1" customWidth="1"/>
    <col min="2054" max="2054" width="7.5" bestFit="1" customWidth="1"/>
    <col min="2055" max="2055" width="16.875" bestFit="1" customWidth="1"/>
    <col min="2299" max="2299" width="2.875" customWidth="1"/>
    <col min="2300" max="2300" width="49" customWidth="1"/>
    <col min="2301" max="2301" width="16.875" bestFit="1" customWidth="1"/>
    <col min="2302" max="2302" width="13.625" bestFit="1" customWidth="1"/>
    <col min="2303" max="2303" width="15.375" bestFit="1" customWidth="1"/>
    <col min="2304" max="2304" width="7.5" bestFit="1" customWidth="1"/>
    <col min="2305" max="2305" width="15.25" customWidth="1"/>
    <col min="2306" max="2306" width="7.5" bestFit="1" customWidth="1"/>
    <col min="2307" max="2307" width="15.375" bestFit="1" customWidth="1"/>
    <col min="2308" max="2308" width="7.5" bestFit="1" customWidth="1"/>
    <col min="2309" max="2309" width="15.375" bestFit="1" customWidth="1"/>
    <col min="2310" max="2310" width="7.5" bestFit="1" customWidth="1"/>
    <col min="2311" max="2311" width="16.875" bestFit="1" customWidth="1"/>
    <col min="2555" max="2555" width="2.875" customWidth="1"/>
    <col min="2556" max="2556" width="49" customWidth="1"/>
    <col min="2557" max="2557" width="16.875" bestFit="1" customWidth="1"/>
    <col min="2558" max="2558" width="13.625" bestFit="1" customWidth="1"/>
    <col min="2559" max="2559" width="15.375" bestFit="1" customWidth="1"/>
    <col min="2560" max="2560" width="7.5" bestFit="1" customWidth="1"/>
    <col min="2561" max="2561" width="15.25" customWidth="1"/>
    <col min="2562" max="2562" width="7.5" bestFit="1" customWidth="1"/>
    <col min="2563" max="2563" width="15.375" bestFit="1" customWidth="1"/>
    <col min="2564" max="2564" width="7.5" bestFit="1" customWidth="1"/>
    <col min="2565" max="2565" width="15.375" bestFit="1" customWidth="1"/>
    <col min="2566" max="2566" width="7.5" bestFit="1" customWidth="1"/>
    <col min="2567" max="2567" width="16.875" bestFit="1" customWidth="1"/>
    <col min="2811" max="2811" width="2.875" customWidth="1"/>
    <col min="2812" max="2812" width="49" customWidth="1"/>
    <col min="2813" max="2813" width="16.875" bestFit="1" customWidth="1"/>
    <col min="2814" max="2814" width="13.625" bestFit="1" customWidth="1"/>
    <col min="2815" max="2815" width="15.375" bestFit="1" customWidth="1"/>
    <col min="2816" max="2816" width="7.5" bestFit="1" customWidth="1"/>
    <col min="2817" max="2817" width="15.25" customWidth="1"/>
    <col min="2818" max="2818" width="7.5" bestFit="1" customWidth="1"/>
    <col min="2819" max="2819" width="15.375" bestFit="1" customWidth="1"/>
    <col min="2820" max="2820" width="7.5" bestFit="1" customWidth="1"/>
    <col min="2821" max="2821" width="15.375" bestFit="1" customWidth="1"/>
    <col min="2822" max="2822" width="7.5" bestFit="1" customWidth="1"/>
    <col min="2823" max="2823" width="16.875" bestFit="1" customWidth="1"/>
    <col min="3067" max="3067" width="2.875" customWidth="1"/>
    <col min="3068" max="3068" width="49" customWidth="1"/>
    <col min="3069" max="3069" width="16.875" bestFit="1" customWidth="1"/>
    <col min="3070" max="3070" width="13.625" bestFit="1" customWidth="1"/>
    <col min="3071" max="3071" width="15.375" bestFit="1" customWidth="1"/>
    <col min="3072" max="3072" width="7.5" bestFit="1" customWidth="1"/>
    <col min="3073" max="3073" width="15.25" customWidth="1"/>
    <col min="3074" max="3074" width="7.5" bestFit="1" customWidth="1"/>
    <col min="3075" max="3075" width="15.375" bestFit="1" customWidth="1"/>
    <col min="3076" max="3076" width="7.5" bestFit="1" customWidth="1"/>
    <col min="3077" max="3077" width="15.375" bestFit="1" customWidth="1"/>
    <col min="3078" max="3078" width="7.5" bestFit="1" customWidth="1"/>
    <col min="3079" max="3079" width="16.875" bestFit="1" customWidth="1"/>
    <col min="3323" max="3323" width="2.875" customWidth="1"/>
    <col min="3324" max="3324" width="49" customWidth="1"/>
    <col min="3325" max="3325" width="16.875" bestFit="1" customWidth="1"/>
    <col min="3326" max="3326" width="13.625" bestFit="1" customWidth="1"/>
    <col min="3327" max="3327" width="15.375" bestFit="1" customWidth="1"/>
    <col min="3328" max="3328" width="7.5" bestFit="1" customWidth="1"/>
    <col min="3329" max="3329" width="15.25" customWidth="1"/>
    <col min="3330" max="3330" width="7.5" bestFit="1" customWidth="1"/>
    <col min="3331" max="3331" width="15.375" bestFit="1" customWidth="1"/>
    <col min="3332" max="3332" width="7.5" bestFit="1" customWidth="1"/>
    <col min="3333" max="3333" width="15.375" bestFit="1" customWidth="1"/>
    <col min="3334" max="3334" width="7.5" bestFit="1" customWidth="1"/>
    <col min="3335" max="3335" width="16.875" bestFit="1" customWidth="1"/>
    <col min="3579" max="3579" width="2.875" customWidth="1"/>
    <col min="3580" max="3580" width="49" customWidth="1"/>
    <col min="3581" max="3581" width="16.875" bestFit="1" customWidth="1"/>
    <col min="3582" max="3582" width="13.625" bestFit="1" customWidth="1"/>
    <col min="3583" max="3583" width="15.375" bestFit="1" customWidth="1"/>
    <col min="3584" max="3584" width="7.5" bestFit="1" customWidth="1"/>
    <col min="3585" max="3585" width="15.25" customWidth="1"/>
    <col min="3586" max="3586" width="7.5" bestFit="1" customWidth="1"/>
    <col min="3587" max="3587" width="15.375" bestFit="1" customWidth="1"/>
    <col min="3588" max="3588" width="7.5" bestFit="1" customWidth="1"/>
    <col min="3589" max="3589" width="15.375" bestFit="1" customWidth="1"/>
    <col min="3590" max="3590" width="7.5" bestFit="1" customWidth="1"/>
    <col min="3591" max="3591" width="16.875" bestFit="1" customWidth="1"/>
    <col min="3835" max="3835" width="2.875" customWidth="1"/>
    <col min="3836" max="3836" width="49" customWidth="1"/>
    <col min="3837" max="3837" width="16.875" bestFit="1" customWidth="1"/>
    <col min="3838" max="3838" width="13.625" bestFit="1" customWidth="1"/>
    <col min="3839" max="3839" width="15.375" bestFit="1" customWidth="1"/>
    <col min="3840" max="3840" width="7.5" bestFit="1" customWidth="1"/>
    <col min="3841" max="3841" width="15.25" customWidth="1"/>
    <col min="3842" max="3842" width="7.5" bestFit="1" customWidth="1"/>
    <col min="3843" max="3843" width="15.375" bestFit="1" customWidth="1"/>
    <col min="3844" max="3844" width="7.5" bestFit="1" customWidth="1"/>
    <col min="3845" max="3845" width="15.375" bestFit="1" customWidth="1"/>
    <col min="3846" max="3846" width="7.5" bestFit="1" customWidth="1"/>
    <col min="3847" max="3847" width="16.875" bestFit="1" customWidth="1"/>
    <col min="4091" max="4091" width="2.875" customWidth="1"/>
    <col min="4092" max="4092" width="49" customWidth="1"/>
    <col min="4093" max="4093" width="16.875" bestFit="1" customWidth="1"/>
    <col min="4094" max="4094" width="13.625" bestFit="1" customWidth="1"/>
    <col min="4095" max="4095" width="15.375" bestFit="1" customWidth="1"/>
    <col min="4096" max="4096" width="7.5" bestFit="1" customWidth="1"/>
    <col min="4097" max="4097" width="15.25" customWidth="1"/>
    <col min="4098" max="4098" width="7.5" bestFit="1" customWidth="1"/>
    <col min="4099" max="4099" width="15.375" bestFit="1" customWidth="1"/>
    <col min="4100" max="4100" width="7.5" bestFit="1" customWidth="1"/>
    <col min="4101" max="4101" width="15.375" bestFit="1" customWidth="1"/>
    <col min="4102" max="4102" width="7.5" bestFit="1" customWidth="1"/>
    <col min="4103" max="4103" width="16.875" bestFit="1" customWidth="1"/>
    <col min="4347" max="4347" width="2.875" customWidth="1"/>
    <col min="4348" max="4348" width="49" customWidth="1"/>
    <col min="4349" max="4349" width="16.875" bestFit="1" customWidth="1"/>
    <col min="4350" max="4350" width="13.625" bestFit="1" customWidth="1"/>
    <col min="4351" max="4351" width="15.375" bestFit="1" customWidth="1"/>
    <col min="4352" max="4352" width="7.5" bestFit="1" customWidth="1"/>
    <col min="4353" max="4353" width="15.25" customWidth="1"/>
    <col min="4354" max="4354" width="7.5" bestFit="1" customWidth="1"/>
    <col min="4355" max="4355" width="15.375" bestFit="1" customWidth="1"/>
    <col min="4356" max="4356" width="7.5" bestFit="1" customWidth="1"/>
    <col min="4357" max="4357" width="15.375" bestFit="1" customWidth="1"/>
    <col min="4358" max="4358" width="7.5" bestFit="1" customWidth="1"/>
    <col min="4359" max="4359" width="16.875" bestFit="1" customWidth="1"/>
    <col min="4603" max="4603" width="2.875" customWidth="1"/>
    <col min="4604" max="4604" width="49" customWidth="1"/>
    <col min="4605" max="4605" width="16.875" bestFit="1" customWidth="1"/>
    <col min="4606" max="4606" width="13.625" bestFit="1" customWidth="1"/>
    <col min="4607" max="4607" width="15.375" bestFit="1" customWidth="1"/>
    <col min="4608" max="4608" width="7.5" bestFit="1" customWidth="1"/>
    <col min="4609" max="4609" width="15.25" customWidth="1"/>
    <col min="4610" max="4610" width="7.5" bestFit="1" customWidth="1"/>
    <col min="4611" max="4611" width="15.375" bestFit="1" customWidth="1"/>
    <col min="4612" max="4612" width="7.5" bestFit="1" customWidth="1"/>
    <col min="4613" max="4613" width="15.375" bestFit="1" customWidth="1"/>
    <col min="4614" max="4614" width="7.5" bestFit="1" customWidth="1"/>
    <col min="4615" max="4615" width="16.875" bestFit="1" customWidth="1"/>
    <col min="4859" max="4859" width="2.875" customWidth="1"/>
    <col min="4860" max="4860" width="49" customWidth="1"/>
    <col min="4861" max="4861" width="16.875" bestFit="1" customWidth="1"/>
    <col min="4862" max="4862" width="13.625" bestFit="1" customWidth="1"/>
    <col min="4863" max="4863" width="15.375" bestFit="1" customWidth="1"/>
    <col min="4864" max="4864" width="7.5" bestFit="1" customWidth="1"/>
    <col min="4865" max="4865" width="15.25" customWidth="1"/>
    <col min="4866" max="4866" width="7.5" bestFit="1" customWidth="1"/>
    <col min="4867" max="4867" width="15.375" bestFit="1" customWidth="1"/>
    <col min="4868" max="4868" width="7.5" bestFit="1" customWidth="1"/>
    <col min="4869" max="4869" width="15.375" bestFit="1" customWidth="1"/>
    <col min="4870" max="4870" width="7.5" bestFit="1" customWidth="1"/>
    <col min="4871" max="4871" width="16.875" bestFit="1" customWidth="1"/>
    <col min="5115" max="5115" width="2.875" customWidth="1"/>
    <col min="5116" max="5116" width="49" customWidth="1"/>
    <col min="5117" max="5117" width="16.875" bestFit="1" customWidth="1"/>
    <col min="5118" max="5118" width="13.625" bestFit="1" customWidth="1"/>
    <col min="5119" max="5119" width="15.375" bestFit="1" customWidth="1"/>
    <col min="5120" max="5120" width="7.5" bestFit="1" customWidth="1"/>
    <col min="5121" max="5121" width="15.25" customWidth="1"/>
    <col min="5122" max="5122" width="7.5" bestFit="1" customWidth="1"/>
    <col min="5123" max="5123" width="15.375" bestFit="1" customWidth="1"/>
    <col min="5124" max="5124" width="7.5" bestFit="1" customWidth="1"/>
    <col min="5125" max="5125" width="15.375" bestFit="1" customWidth="1"/>
    <col min="5126" max="5126" width="7.5" bestFit="1" customWidth="1"/>
    <col min="5127" max="5127" width="16.875" bestFit="1" customWidth="1"/>
    <col min="5371" max="5371" width="2.875" customWidth="1"/>
    <col min="5372" max="5372" width="49" customWidth="1"/>
    <col min="5373" max="5373" width="16.875" bestFit="1" customWidth="1"/>
    <col min="5374" max="5374" width="13.625" bestFit="1" customWidth="1"/>
    <col min="5375" max="5375" width="15.375" bestFit="1" customWidth="1"/>
    <col min="5376" max="5376" width="7.5" bestFit="1" customWidth="1"/>
    <col min="5377" max="5377" width="15.25" customWidth="1"/>
    <col min="5378" max="5378" width="7.5" bestFit="1" customWidth="1"/>
    <col min="5379" max="5379" width="15.375" bestFit="1" customWidth="1"/>
    <col min="5380" max="5380" width="7.5" bestFit="1" customWidth="1"/>
    <col min="5381" max="5381" width="15.375" bestFit="1" customWidth="1"/>
    <col min="5382" max="5382" width="7.5" bestFit="1" customWidth="1"/>
    <col min="5383" max="5383" width="16.875" bestFit="1" customWidth="1"/>
    <col min="5627" max="5627" width="2.875" customWidth="1"/>
    <col min="5628" max="5628" width="49" customWidth="1"/>
    <col min="5629" max="5629" width="16.875" bestFit="1" customWidth="1"/>
    <col min="5630" max="5630" width="13.625" bestFit="1" customWidth="1"/>
    <col min="5631" max="5631" width="15.375" bestFit="1" customWidth="1"/>
    <col min="5632" max="5632" width="7.5" bestFit="1" customWidth="1"/>
    <col min="5633" max="5633" width="15.25" customWidth="1"/>
    <col min="5634" max="5634" width="7.5" bestFit="1" customWidth="1"/>
    <col min="5635" max="5635" width="15.375" bestFit="1" customWidth="1"/>
    <col min="5636" max="5636" width="7.5" bestFit="1" customWidth="1"/>
    <col min="5637" max="5637" width="15.375" bestFit="1" customWidth="1"/>
    <col min="5638" max="5638" width="7.5" bestFit="1" customWidth="1"/>
    <col min="5639" max="5639" width="16.875" bestFit="1" customWidth="1"/>
    <col min="5883" max="5883" width="2.875" customWidth="1"/>
    <col min="5884" max="5884" width="49" customWidth="1"/>
    <col min="5885" max="5885" width="16.875" bestFit="1" customWidth="1"/>
    <col min="5886" max="5886" width="13.625" bestFit="1" customWidth="1"/>
    <col min="5887" max="5887" width="15.375" bestFit="1" customWidth="1"/>
    <col min="5888" max="5888" width="7.5" bestFit="1" customWidth="1"/>
    <col min="5889" max="5889" width="15.25" customWidth="1"/>
    <col min="5890" max="5890" width="7.5" bestFit="1" customWidth="1"/>
    <col min="5891" max="5891" width="15.375" bestFit="1" customWidth="1"/>
    <col min="5892" max="5892" width="7.5" bestFit="1" customWidth="1"/>
    <col min="5893" max="5893" width="15.375" bestFit="1" customWidth="1"/>
    <col min="5894" max="5894" width="7.5" bestFit="1" customWidth="1"/>
    <col min="5895" max="5895" width="16.875" bestFit="1" customWidth="1"/>
    <col min="6139" max="6139" width="2.875" customWidth="1"/>
    <col min="6140" max="6140" width="49" customWidth="1"/>
    <col min="6141" max="6141" width="16.875" bestFit="1" customWidth="1"/>
    <col min="6142" max="6142" width="13.625" bestFit="1" customWidth="1"/>
    <col min="6143" max="6143" width="15.375" bestFit="1" customWidth="1"/>
    <col min="6144" max="6144" width="7.5" bestFit="1" customWidth="1"/>
    <col min="6145" max="6145" width="15.25" customWidth="1"/>
    <col min="6146" max="6146" width="7.5" bestFit="1" customWidth="1"/>
    <col min="6147" max="6147" width="15.375" bestFit="1" customWidth="1"/>
    <col min="6148" max="6148" width="7.5" bestFit="1" customWidth="1"/>
    <col min="6149" max="6149" width="15.375" bestFit="1" customWidth="1"/>
    <col min="6150" max="6150" width="7.5" bestFit="1" customWidth="1"/>
    <col min="6151" max="6151" width="16.875" bestFit="1" customWidth="1"/>
    <col min="6395" max="6395" width="2.875" customWidth="1"/>
    <col min="6396" max="6396" width="49" customWidth="1"/>
    <col min="6397" max="6397" width="16.875" bestFit="1" customWidth="1"/>
    <col min="6398" max="6398" width="13.625" bestFit="1" customWidth="1"/>
    <col min="6399" max="6399" width="15.375" bestFit="1" customWidth="1"/>
    <col min="6400" max="6400" width="7.5" bestFit="1" customWidth="1"/>
    <col min="6401" max="6401" width="15.25" customWidth="1"/>
    <col min="6402" max="6402" width="7.5" bestFit="1" customWidth="1"/>
    <col min="6403" max="6403" width="15.375" bestFit="1" customWidth="1"/>
    <col min="6404" max="6404" width="7.5" bestFit="1" customWidth="1"/>
    <col min="6405" max="6405" width="15.375" bestFit="1" customWidth="1"/>
    <col min="6406" max="6406" width="7.5" bestFit="1" customWidth="1"/>
    <col min="6407" max="6407" width="16.875" bestFit="1" customWidth="1"/>
    <col min="6651" max="6651" width="2.875" customWidth="1"/>
    <col min="6652" max="6652" width="49" customWidth="1"/>
    <col min="6653" max="6653" width="16.875" bestFit="1" customWidth="1"/>
    <col min="6654" max="6654" width="13.625" bestFit="1" customWidth="1"/>
    <col min="6655" max="6655" width="15.375" bestFit="1" customWidth="1"/>
    <col min="6656" max="6656" width="7.5" bestFit="1" customWidth="1"/>
    <col min="6657" max="6657" width="15.25" customWidth="1"/>
    <col min="6658" max="6658" width="7.5" bestFit="1" customWidth="1"/>
    <col min="6659" max="6659" width="15.375" bestFit="1" customWidth="1"/>
    <col min="6660" max="6660" width="7.5" bestFit="1" customWidth="1"/>
    <col min="6661" max="6661" width="15.375" bestFit="1" customWidth="1"/>
    <col min="6662" max="6662" width="7.5" bestFit="1" customWidth="1"/>
    <col min="6663" max="6663" width="16.875" bestFit="1" customWidth="1"/>
    <col min="6907" max="6907" width="2.875" customWidth="1"/>
    <col min="6908" max="6908" width="49" customWidth="1"/>
    <col min="6909" max="6909" width="16.875" bestFit="1" customWidth="1"/>
    <col min="6910" max="6910" width="13.625" bestFit="1" customWidth="1"/>
    <col min="6911" max="6911" width="15.375" bestFit="1" customWidth="1"/>
    <col min="6912" max="6912" width="7.5" bestFit="1" customWidth="1"/>
    <col min="6913" max="6913" width="15.25" customWidth="1"/>
    <col min="6914" max="6914" width="7.5" bestFit="1" customWidth="1"/>
    <col min="6915" max="6915" width="15.375" bestFit="1" customWidth="1"/>
    <col min="6916" max="6916" width="7.5" bestFit="1" customWidth="1"/>
    <col min="6917" max="6917" width="15.375" bestFit="1" customWidth="1"/>
    <col min="6918" max="6918" width="7.5" bestFit="1" customWidth="1"/>
    <col min="6919" max="6919" width="16.875" bestFit="1" customWidth="1"/>
    <col min="7163" max="7163" width="2.875" customWidth="1"/>
    <col min="7164" max="7164" width="49" customWidth="1"/>
    <col min="7165" max="7165" width="16.875" bestFit="1" customWidth="1"/>
    <col min="7166" max="7166" width="13.625" bestFit="1" customWidth="1"/>
    <col min="7167" max="7167" width="15.375" bestFit="1" customWidth="1"/>
    <col min="7168" max="7168" width="7.5" bestFit="1" customWidth="1"/>
    <col min="7169" max="7169" width="15.25" customWidth="1"/>
    <col min="7170" max="7170" width="7.5" bestFit="1" customWidth="1"/>
    <col min="7171" max="7171" width="15.375" bestFit="1" customWidth="1"/>
    <col min="7172" max="7172" width="7.5" bestFit="1" customWidth="1"/>
    <col min="7173" max="7173" width="15.375" bestFit="1" customWidth="1"/>
    <col min="7174" max="7174" width="7.5" bestFit="1" customWidth="1"/>
    <col min="7175" max="7175" width="16.875" bestFit="1" customWidth="1"/>
    <col min="7419" max="7419" width="2.875" customWidth="1"/>
    <col min="7420" max="7420" width="49" customWidth="1"/>
    <col min="7421" max="7421" width="16.875" bestFit="1" customWidth="1"/>
    <col min="7422" max="7422" width="13.625" bestFit="1" customWidth="1"/>
    <col min="7423" max="7423" width="15.375" bestFit="1" customWidth="1"/>
    <col min="7424" max="7424" width="7.5" bestFit="1" customWidth="1"/>
    <col min="7425" max="7425" width="15.25" customWidth="1"/>
    <col min="7426" max="7426" width="7.5" bestFit="1" customWidth="1"/>
    <col min="7427" max="7427" width="15.375" bestFit="1" customWidth="1"/>
    <col min="7428" max="7428" width="7.5" bestFit="1" customWidth="1"/>
    <col min="7429" max="7429" width="15.375" bestFit="1" customWidth="1"/>
    <col min="7430" max="7430" width="7.5" bestFit="1" customWidth="1"/>
    <col min="7431" max="7431" width="16.875" bestFit="1" customWidth="1"/>
    <col min="7675" max="7675" width="2.875" customWidth="1"/>
    <col min="7676" max="7676" width="49" customWidth="1"/>
    <col min="7677" max="7677" width="16.875" bestFit="1" customWidth="1"/>
    <col min="7678" max="7678" width="13.625" bestFit="1" customWidth="1"/>
    <col min="7679" max="7679" width="15.375" bestFit="1" customWidth="1"/>
    <col min="7680" max="7680" width="7.5" bestFit="1" customWidth="1"/>
    <col min="7681" max="7681" width="15.25" customWidth="1"/>
    <col min="7682" max="7682" width="7.5" bestFit="1" customWidth="1"/>
    <col min="7683" max="7683" width="15.375" bestFit="1" customWidth="1"/>
    <col min="7684" max="7684" width="7.5" bestFit="1" customWidth="1"/>
    <col min="7685" max="7685" width="15.375" bestFit="1" customWidth="1"/>
    <col min="7686" max="7686" width="7.5" bestFit="1" customWidth="1"/>
    <col min="7687" max="7687" width="16.875" bestFit="1" customWidth="1"/>
    <col min="7931" max="7931" width="2.875" customWidth="1"/>
    <col min="7932" max="7932" width="49" customWidth="1"/>
    <col min="7933" max="7933" width="16.875" bestFit="1" customWidth="1"/>
    <col min="7934" max="7934" width="13.625" bestFit="1" customWidth="1"/>
    <col min="7935" max="7935" width="15.375" bestFit="1" customWidth="1"/>
    <col min="7936" max="7936" width="7.5" bestFit="1" customWidth="1"/>
    <col min="7937" max="7937" width="15.25" customWidth="1"/>
    <col min="7938" max="7938" width="7.5" bestFit="1" customWidth="1"/>
    <col min="7939" max="7939" width="15.375" bestFit="1" customWidth="1"/>
    <col min="7940" max="7940" width="7.5" bestFit="1" customWidth="1"/>
    <col min="7941" max="7941" width="15.375" bestFit="1" customWidth="1"/>
    <col min="7942" max="7942" width="7.5" bestFit="1" customWidth="1"/>
    <col min="7943" max="7943" width="16.875" bestFit="1" customWidth="1"/>
    <col min="8187" max="8187" width="2.875" customWidth="1"/>
    <col min="8188" max="8188" width="49" customWidth="1"/>
    <col min="8189" max="8189" width="16.875" bestFit="1" customWidth="1"/>
    <col min="8190" max="8190" width="13.625" bestFit="1" customWidth="1"/>
    <col min="8191" max="8191" width="15.375" bestFit="1" customWidth="1"/>
    <col min="8192" max="8192" width="7.5" bestFit="1" customWidth="1"/>
    <col min="8193" max="8193" width="15.25" customWidth="1"/>
    <col min="8194" max="8194" width="7.5" bestFit="1" customWidth="1"/>
    <col min="8195" max="8195" width="15.375" bestFit="1" customWidth="1"/>
    <col min="8196" max="8196" width="7.5" bestFit="1" customWidth="1"/>
    <col min="8197" max="8197" width="15.375" bestFit="1" customWidth="1"/>
    <col min="8198" max="8198" width="7.5" bestFit="1" customWidth="1"/>
    <col min="8199" max="8199" width="16.875" bestFit="1" customWidth="1"/>
    <col min="8443" max="8443" width="2.875" customWidth="1"/>
    <col min="8444" max="8444" width="49" customWidth="1"/>
    <col min="8445" max="8445" width="16.875" bestFit="1" customWidth="1"/>
    <col min="8446" max="8446" width="13.625" bestFit="1" customWidth="1"/>
    <col min="8447" max="8447" width="15.375" bestFit="1" customWidth="1"/>
    <col min="8448" max="8448" width="7.5" bestFit="1" customWidth="1"/>
    <col min="8449" max="8449" width="15.25" customWidth="1"/>
    <col min="8450" max="8450" width="7.5" bestFit="1" customWidth="1"/>
    <col min="8451" max="8451" width="15.375" bestFit="1" customWidth="1"/>
    <col min="8452" max="8452" width="7.5" bestFit="1" customWidth="1"/>
    <col min="8453" max="8453" width="15.375" bestFit="1" customWidth="1"/>
    <col min="8454" max="8454" width="7.5" bestFit="1" customWidth="1"/>
    <col min="8455" max="8455" width="16.875" bestFit="1" customWidth="1"/>
    <col min="8699" max="8699" width="2.875" customWidth="1"/>
    <col min="8700" max="8700" width="49" customWidth="1"/>
    <col min="8701" max="8701" width="16.875" bestFit="1" customWidth="1"/>
    <col min="8702" max="8702" width="13.625" bestFit="1" customWidth="1"/>
    <col min="8703" max="8703" width="15.375" bestFit="1" customWidth="1"/>
    <col min="8704" max="8704" width="7.5" bestFit="1" customWidth="1"/>
    <col min="8705" max="8705" width="15.25" customWidth="1"/>
    <col min="8706" max="8706" width="7.5" bestFit="1" customWidth="1"/>
    <col min="8707" max="8707" width="15.375" bestFit="1" customWidth="1"/>
    <col min="8708" max="8708" width="7.5" bestFit="1" customWidth="1"/>
    <col min="8709" max="8709" width="15.375" bestFit="1" customWidth="1"/>
    <col min="8710" max="8710" width="7.5" bestFit="1" customWidth="1"/>
    <col min="8711" max="8711" width="16.875" bestFit="1" customWidth="1"/>
    <col min="8955" max="8955" width="2.875" customWidth="1"/>
    <col min="8956" max="8956" width="49" customWidth="1"/>
    <col min="8957" max="8957" width="16.875" bestFit="1" customWidth="1"/>
    <col min="8958" max="8958" width="13.625" bestFit="1" customWidth="1"/>
    <col min="8959" max="8959" width="15.375" bestFit="1" customWidth="1"/>
    <col min="8960" max="8960" width="7.5" bestFit="1" customWidth="1"/>
    <col min="8961" max="8961" width="15.25" customWidth="1"/>
    <col min="8962" max="8962" width="7.5" bestFit="1" customWidth="1"/>
    <col min="8963" max="8963" width="15.375" bestFit="1" customWidth="1"/>
    <col min="8964" max="8964" width="7.5" bestFit="1" customWidth="1"/>
    <col min="8965" max="8965" width="15.375" bestFit="1" customWidth="1"/>
    <col min="8966" max="8966" width="7.5" bestFit="1" customWidth="1"/>
    <col min="8967" max="8967" width="16.875" bestFit="1" customWidth="1"/>
    <col min="9211" max="9211" width="2.875" customWidth="1"/>
    <col min="9212" max="9212" width="49" customWidth="1"/>
    <col min="9213" max="9213" width="16.875" bestFit="1" customWidth="1"/>
    <col min="9214" max="9214" width="13.625" bestFit="1" customWidth="1"/>
    <col min="9215" max="9215" width="15.375" bestFit="1" customWidth="1"/>
    <col min="9216" max="9216" width="7.5" bestFit="1" customWidth="1"/>
    <col min="9217" max="9217" width="15.25" customWidth="1"/>
    <col min="9218" max="9218" width="7.5" bestFit="1" customWidth="1"/>
    <col min="9219" max="9219" width="15.375" bestFit="1" customWidth="1"/>
    <col min="9220" max="9220" width="7.5" bestFit="1" customWidth="1"/>
    <col min="9221" max="9221" width="15.375" bestFit="1" customWidth="1"/>
    <col min="9222" max="9222" width="7.5" bestFit="1" customWidth="1"/>
    <col min="9223" max="9223" width="16.875" bestFit="1" customWidth="1"/>
    <col min="9467" max="9467" width="2.875" customWidth="1"/>
    <col min="9468" max="9468" width="49" customWidth="1"/>
    <col min="9469" max="9469" width="16.875" bestFit="1" customWidth="1"/>
    <col min="9470" max="9470" width="13.625" bestFit="1" customWidth="1"/>
    <col min="9471" max="9471" width="15.375" bestFit="1" customWidth="1"/>
    <col min="9472" max="9472" width="7.5" bestFit="1" customWidth="1"/>
    <col min="9473" max="9473" width="15.25" customWidth="1"/>
    <col min="9474" max="9474" width="7.5" bestFit="1" customWidth="1"/>
    <col min="9475" max="9475" width="15.375" bestFit="1" customWidth="1"/>
    <col min="9476" max="9476" width="7.5" bestFit="1" customWidth="1"/>
    <col min="9477" max="9477" width="15.375" bestFit="1" customWidth="1"/>
    <col min="9478" max="9478" width="7.5" bestFit="1" customWidth="1"/>
    <col min="9479" max="9479" width="16.875" bestFit="1" customWidth="1"/>
    <col min="9723" max="9723" width="2.875" customWidth="1"/>
    <col min="9724" max="9724" width="49" customWidth="1"/>
    <col min="9725" max="9725" width="16.875" bestFit="1" customWidth="1"/>
    <col min="9726" max="9726" width="13.625" bestFit="1" customWidth="1"/>
    <col min="9727" max="9727" width="15.375" bestFit="1" customWidth="1"/>
    <col min="9728" max="9728" width="7.5" bestFit="1" customWidth="1"/>
    <col min="9729" max="9729" width="15.25" customWidth="1"/>
    <col min="9730" max="9730" width="7.5" bestFit="1" customWidth="1"/>
    <col min="9731" max="9731" width="15.375" bestFit="1" customWidth="1"/>
    <col min="9732" max="9732" width="7.5" bestFit="1" customWidth="1"/>
    <col min="9733" max="9733" width="15.375" bestFit="1" customWidth="1"/>
    <col min="9734" max="9734" width="7.5" bestFit="1" customWidth="1"/>
    <col min="9735" max="9735" width="16.875" bestFit="1" customWidth="1"/>
    <col min="9979" max="9979" width="2.875" customWidth="1"/>
    <col min="9980" max="9980" width="49" customWidth="1"/>
    <col min="9981" max="9981" width="16.875" bestFit="1" customWidth="1"/>
    <col min="9982" max="9982" width="13.625" bestFit="1" customWidth="1"/>
    <col min="9983" max="9983" width="15.375" bestFit="1" customWidth="1"/>
    <col min="9984" max="9984" width="7.5" bestFit="1" customWidth="1"/>
    <col min="9985" max="9985" width="15.25" customWidth="1"/>
    <col min="9986" max="9986" width="7.5" bestFit="1" customWidth="1"/>
    <col min="9987" max="9987" width="15.375" bestFit="1" customWidth="1"/>
    <col min="9988" max="9988" width="7.5" bestFit="1" customWidth="1"/>
    <col min="9989" max="9989" width="15.375" bestFit="1" customWidth="1"/>
    <col min="9990" max="9990" width="7.5" bestFit="1" customWidth="1"/>
    <col min="9991" max="9991" width="16.875" bestFit="1" customWidth="1"/>
    <col min="10235" max="10235" width="2.875" customWidth="1"/>
    <col min="10236" max="10236" width="49" customWidth="1"/>
    <col min="10237" max="10237" width="16.875" bestFit="1" customWidth="1"/>
    <col min="10238" max="10238" width="13.625" bestFit="1" customWidth="1"/>
    <col min="10239" max="10239" width="15.375" bestFit="1" customWidth="1"/>
    <col min="10240" max="10240" width="7.5" bestFit="1" customWidth="1"/>
    <col min="10241" max="10241" width="15.25" customWidth="1"/>
    <col min="10242" max="10242" width="7.5" bestFit="1" customWidth="1"/>
    <col min="10243" max="10243" width="15.375" bestFit="1" customWidth="1"/>
    <col min="10244" max="10244" width="7.5" bestFit="1" customWidth="1"/>
    <col min="10245" max="10245" width="15.375" bestFit="1" customWidth="1"/>
    <col min="10246" max="10246" width="7.5" bestFit="1" customWidth="1"/>
    <col min="10247" max="10247" width="16.875" bestFit="1" customWidth="1"/>
    <col min="10491" max="10491" width="2.875" customWidth="1"/>
    <col min="10492" max="10492" width="49" customWidth="1"/>
    <col min="10493" max="10493" width="16.875" bestFit="1" customWidth="1"/>
    <col min="10494" max="10494" width="13.625" bestFit="1" customWidth="1"/>
    <col min="10495" max="10495" width="15.375" bestFit="1" customWidth="1"/>
    <col min="10496" max="10496" width="7.5" bestFit="1" customWidth="1"/>
    <col min="10497" max="10497" width="15.25" customWidth="1"/>
    <col min="10498" max="10498" width="7.5" bestFit="1" customWidth="1"/>
    <col min="10499" max="10499" width="15.375" bestFit="1" customWidth="1"/>
    <col min="10500" max="10500" width="7.5" bestFit="1" customWidth="1"/>
    <col min="10501" max="10501" width="15.375" bestFit="1" customWidth="1"/>
    <col min="10502" max="10502" width="7.5" bestFit="1" customWidth="1"/>
    <col min="10503" max="10503" width="16.875" bestFit="1" customWidth="1"/>
    <col min="10747" max="10747" width="2.875" customWidth="1"/>
    <col min="10748" max="10748" width="49" customWidth="1"/>
    <col min="10749" max="10749" width="16.875" bestFit="1" customWidth="1"/>
    <col min="10750" max="10750" width="13.625" bestFit="1" customWidth="1"/>
    <col min="10751" max="10751" width="15.375" bestFit="1" customWidth="1"/>
    <col min="10752" max="10752" width="7.5" bestFit="1" customWidth="1"/>
    <col min="10753" max="10753" width="15.25" customWidth="1"/>
    <col min="10754" max="10754" width="7.5" bestFit="1" customWidth="1"/>
    <col min="10755" max="10755" width="15.375" bestFit="1" customWidth="1"/>
    <col min="10756" max="10756" width="7.5" bestFit="1" customWidth="1"/>
    <col min="10757" max="10757" width="15.375" bestFit="1" customWidth="1"/>
    <col min="10758" max="10758" width="7.5" bestFit="1" customWidth="1"/>
    <col min="10759" max="10759" width="16.875" bestFit="1" customWidth="1"/>
    <col min="11003" max="11003" width="2.875" customWidth="1"/>
    <col min="11004" max="11004" width="49" customWidth="1"/>
    <col min="11005" max="11005" width="16.875" bestFit="1" customWidth="1"/>
    <col min="11006" max="11006" width="13.625" bestFit="1" customWidth="1"/>
    <col min="11007" max="11007" width="15.375" bestFit="1" customWidth="1"/>
    <col min="11008" max="11008" width="7.5" bestFit="1" customWidth="1"/>
    <col min="11009" max="11009" width="15.25" customWidth="1"/>
    <col min="11010" max="11010" width="7.5" bestFit="1" customWidth="1"/>
    <col min="11011" max="11011" width="15.375" bestFit="1" customWidth="1"/>
    <col min="11012" max="11012" width="7.5" bestFit="1" customWidth="1"/>
    <col min="11013" max="11013" width="15.375" bestFit="1" customWidth="1"/>
    <col min="11014" max="11014" width="7.5" bestFit="1" customWidth="1"/>
    <col min="11015" max="11015" width="16.875" bestFit="1" customWidth="1"/>
    <col min="11259" max="11259" width="2.875" customWidth="1"/>
    <col min="11260" max="11260" width="49" customWidth="1"/>
    <col min="11261" max="11261" width="16.875" bestFit="1" customWidth="1"/>
    <col min="11262" max="11262" width="13.625" bestFit="1" customWidth="1"/>
    <col min="11263" max="11263" width="15.375" bestFit="1" customWidth="1"/>
    <col min="11264" max="11264" width="7.5" bestFit="1" customWidth="1"/>
    <col min="11265" max="11265" width="15.25" customWidth="1"/>
    <col min="11266" max="11266" width="7.5" bestFit="1" customWidth="1"/>
    <col min="11267" max="11267" width="15.375" bestFit="1" customWidth="1"/>
    <col min="11268" max="11268" width="7.5" bestFit="1" customWidth="1"/>
    <col min="11269" max="11269" width="15.375" bestFit="1" customWidth="1"/>
    <col min="11270" max="11270" width="7.5" bestFit="1" customWidth="1"/>
    <col min="11271" max="11271" width="16.875" bestFit="1" customWidth="1"/>
    <col min="11515" max="11515" width="2.875" customWidth="1"/>
    <col min="11516" max="11516" width="49" customWidth="1"/>
    <col min="11517" max="11517" width="16.875" bestFit="1" customWidth="1"/>
    <col min="11518" max="11518" width="13.625" bestFit="1" customWidth="1"/>
    <col min="11519" max="11519" width="15.375" bestFit="1" customWidth="1"/>
    <col min="11520" max="11520" width="7.5" bestFit="1" customWidth="1"/>
    <col min="11521" max="11521" width="15.25" customWidth="1"/>
    <col min="11522" max="11522" width="7.5" bestFit="1" customWidth="1"/>
    <col min="11523" max="11523" width="15.375" bestFit="1" customWidth="1"/>
    <col min="11524" max="11524" width="7.5" bestFit="1" customWidth="1"/>
    <col min="11525" max="11525" width="15.375" bestFit="1" customWidth="1"/>
    <col min="11526" max="11526" width="7.5" bestFit="1" customWidth="1"/>
    <col min="11527" max="11527" width="16.875" bestFit="1" customWidth="1"/>
    <col min="11771" max="11771" width="2.875" customWidth="1"/>
    <col min="11772" max="11772" width="49" customWidth="1"/>
    <col min="11773" max="11773" width="16.875" bestFit="1" customWidth="1"/>
    <col min="11774" max="11774" width="13.625" bestFit="1" customWidth="1"/>
    <col min="11775" max="11775" width="15.375" bestFit="1" customWidth="1"/>
    <col min="11776" max="11776" width="7.5" bestFit="1" customWidth="1"/>
    <col min="11777" max="11777" width="15.25" customWidth="1"/>
    <col min="11778" max="11778" width="7.5" bestFit="1" customWidth="1"/>
    <col min="11779" max="11779" width="15.375" bestFit="1" customWidth="1"/>
    <col min="11780" max="11780" width="7.5" bestFit="1" customWidth="1"/>
    <col min="11781" max="11781" width="15.375" bestFit="1" customWidth="1"/>
    <col min="11782" max="11782" width="7.5" bestFit="1" customWidth="1"/>
    <col min="11783" max="11783" width="16.875" bestFit="1" customWidth="1"/>
    <col min="12027" max="12027" width="2.875" customWidth="1"/>
    <col min="12028" max="12028" width="49" customWidth="1"/>
    <col min="12029" max="12029" width="16.875" bestFit="1" customWidth="1"/>
    <col min="12030" max="12030" width="13.625" bestFit="1" customWidth="1"/>
    <col min="12031" max="12031" width="15.375" bestFit="1" customWidth="1"/>
    <col min="12032" max="12032" width="7.5" bestFit="1" customWidth="1"/>
    <col min="12033" max="12033" width="15.25" customWidth="1"/>
    <col min="12034" max="12034" width="7.5" bestFit="1" customWidth="1"/>
    <col min="12035" max="12035" width="15.375" bestFit="1" customWidth="1"/>
    <col min="12036" max="12036" width="7.5" bestFit="1" customWidth="1"/>
    <col min="12037" max="12037" width="15.375" bestFit="1" customWidth="1"/>
    <col min="12038" max="12038" width="7.5" bestFit="1" customWidth="1"/>
    <col min="12039" max="12039" width="16.875" bestFit="1" customWidth="1"/>
    <col min="12283" max="12283" width="2.875" customWidth="1"/>
    <col min="12284" max="12284" width="49" customWidth="1"/>
    <col min="12285" max="12285" width="16.875" bestFit="1" customWidth="1"/>
    <col min="12286" max="12286" width="13.625" bestFit="1" customWidth="1"/>
    <col min="12287" max="12287" width="15.375" bestFit="1" customWidth="1"/>
    <col min="12288" max="12288" width="7.5" bestFit="1" customWidth="1"/>
    <col min="12289" max="12289" width="15.25" customWidth="1"/>
    <col min="12290" max="12290" width="7.5" bestFit="1" customWidth="1"/>
    <col min="12291" max="12291" width="15.375" bestFit="1" customWidth="1"/>
    <col min="12292" max="12292" width="7.5" bestFit="1" customWidth="1"/>
    <col min="12293" max="12293" width="15.375" bestFit="1" customWidth="1"/>
    <col min="12294" max="12294" width="7.5" bestFit="1" customWidth="1"/>
    <col min="12295" max="12295" width="16.875" bestFit="1" customWidth="1"/>
    <col min="12539" max="12539" width="2.875" customWidth="1"/>
    <col min="12540" max="12540" width="49" customWidth="1"/>
    <col min="12541" max="12541" width="16.875" bestFit="1" customWidth="1"/>
    <col min="12542" max="12542" width="13.625" bestFit="1" customWidth="1"/>
    <col min="12543" max="12543" width="15.375" bestFit="1" customWidth="1"/>
    <col min="12544" max="12544" width="7.5" bestFit="1" customWidth="1"/>
    <col min="12545" max="12545" width="15.25" customWidth="1"/>
    <col min="12546" max="12546" width="7.5" bestFit="1" customWidth="1"/>
    <col min="12547" max="12547" width="15.375" bestFit="1" customWidth="1"/>
    <col min="12548" max="12548" width="7.5" bestFit="1" customWidth="1"/>
    <col min="12549" max="12549" width="15.375" bestFit="1" customWidth="1"/>
    <col min="12550" max="12550" width="7.5" bestFit="1" customWidth="1"/>
    <col min="12551" max="12551" width="16.875" bestFit="1" customWidth="1"/>
    <col min="12795" max="12795" width="2.875" customWidth="1"/>
    <col min="12796" max="12796" width="49" customWidth="1"/>
    <col min="12797" max="12797" width="16.875" bestFit="1" customWidth="1"/>
    <col min="12798" max="12798" width="13.625" bestFit="1" customWidth="1"/>
    <col min="12799" max="12799" width="15.375" bestFit="1" customWidth="1"/>
    <col min="12800" max="12800" width="7.5" bestFit="1" customWidth="1"/>
    <col min="12801" max="12801" width="15.25" customWidth="1"/>
    <col min="12802" max="12802" width="7.5" bestFit="1" customWidth="1"/>
    <col min="12803" max="12803" width="15.375" bestFit="1" customWidth="1"/>
    <col min="12804" max="12804" width="7.5" bestFit="1" customWidth="1"/>
    <col min="12805" max="12805" width="15.375" bestFit="1" customWidth="1"/>
    <col min="12806" max="12806" width="7.5" bestFit="1" customWidth="1"/>
    <col min="12807" max="12807" width="16.875" bestFit="1" customWidth="1"/>
    <col min="13051" max="13051" width="2.875" customWidth="1"/>
    <col min="13052" max="13052" width="49" customWidth="1"/>
    <col min="13053" max="13053" width="16.875" bestFit="1" customWidth="1"/>
    <col min="13054" max="13054" width="13.625" bestFit="1" customWidth="1"/>
    <col min="13055" max="13055" width="15.375" bestFit="1" customWidth="1"/>
    <col min="13056" max="13056" width="7.5" bestFit="1" customWidth="1"/>
    <col min="13057" max="13057" width="15.25" customWidth="1"/>
    <col min="13058" max="13058" width="7.5" bestFit="1" customWidth="1"/>
    <col min="13059" max="13059" width="15.375" bestFit="1" customWidth="1"/>
    <col min="13060" max="13060" width="7.5" bestFit="1" customWidth="1"/>
    <col min="13061" max="13061" width="15.375" bestFit="1" customWidth="1"/>
    <col min="13062" max="13062" width="7.5" bestFit="1" customWidth="1"/>
    <col min="13063" max="13063" width="16.875" bestFit="1" customWidth="1"/>
    <col min="13307" max="13307" width="2.875" customWidth="1"/>
    <col min="13308" max="13308" width="49" customWidth="1"/>
    <col min="13309" max="13309" width="16.875" bestFit="1" customWidth="1"/>
    <col min="13310" max="13310" width="13.625" bestFit="1" customWidth="1"/>
    <col min="13311" max="13311" width="15.375" bestFit="1" customWidth="1"/>
    <col min="13312" max="13312" width="7.5" bestFit="1" customWidth="1"/>
    <col min="13313" max="13313" width="15.25" customWidth="1"/>
    <col min="13314" max="13314" width="7.5" bestFit="1" customWidth="1"/>
    <col min="13315" max="13315" width="15.375" bestFit="1" customWidth="1"/>
    <col min="13316" max="13316" width="7.5" bestFit="1" customWidth="1"/>
    <col min="13317" max="13317" width="15.375" bestFit="1" customWidth="1"/>
    <col min="13318" max="13318" width="7.5" bestFit="1" customWidth="1"/>
    <col min="13319" max="13319" width="16.875" bestFit="1" customWidth="1"/>
    <col min="13563" max="13563" width="2.875" customWidth="1"/>
    <col min="13564" max="13564" width="49" customWidth="1"/>
    <col min="13565" max="13565" width="16.875" bestFit="1" customWidth="1"/>
    <col min="13566" max="13566" width="13.625" bestFit="1" customWidth="1"/>
    <col min="13567" max="13567" width="15.375" bestFit="1" customWidth="1"/>
    <col min="13568" max="13568" width="7.5" bestFit="1" customWidth="1"/>
    <col min="13569" max="13569" width="15.25" customWidth="1"/>
    <col min="13570" max="13570" width="7.5" bestFit="1" customWidth="1"/>
    <col min="13571" max="13571" width="15.375" bestFit="1" customWidth="1"/>
    <col min="13572" max="13572" width="7.5" bestFit="1" customWidth="1"/>
    <col min="13573" max="13573" width="15.375" bestFit="1" customWidth="1"/>
    <col min="13574" max="13574" width="7.5" bestFit="1" customWidth="1"/>
    <col min="13575" max="13575" width="16.875" bestFit="1" customWidth="1"/>
    <col min="13819" max="13819" width="2.875" customWidth="1"/>
    <col min="13820" max="13820" width="49" customWidth="1"/>
    <col min="13821" max="13821" width="16.875" bestFit="1" customWidth="1"/>
    <col min="13822" max="13822" width="13.625" bestFit="1" customWidth="1"/>
    <col min="13823" max="13823" width="15.375" bestFit="1" customWidth="1"/>
    <col min="13824" max="13824" width="7.5" bestFit="1" customWidth="1"/>
    <col min="13825" max="13825" width="15.25" customWidth="1"/>
    <col min="13826" max="13826" width="7.5" bestFit="1" customWidth="1"/>
    <col min="13827" max="13827" width="15.375" bestFit="1" customWidth="1"/>
    <col min="13828" max="13828" width="7.5" bestFit="1" customWidth="1"/>
    <col min="13829" max="13829" width="15.375" bestFit="1" customWidth="1"/>
    <col min="13830" max="13830" width="7.5" bestFit="1" customWidth="1"/>
    <col min="13831" max="13831" width="16.875" bestFit="1" customWidth="1"/>
    <col min="14075" max="14075" width="2.875" customWidth="1"/>
    <col min="14076" max="14076" width="49" customWidth="1"/>
    <col min="14077" max="14077" width="16.875" bestFit="1" customWidth="1"/>
    <col min="14078" max="14078" width="13.625" bestFit="1" customWidth="1"/>
    <col min="14079" max="14079" width="15.375" bestFit="1" customWidth="1"/>
    <col min="14080" max="14080" width="7.5" bestFit="1" customWidth="1"/>
    <col min="14081" max="14081" width="15.25" customWidth="1"/>
    <col min="14082" max="14082" width="7.5" bestFit="1" customWidth="1"/>
    <col min="14083" max="14083" width="15.375" bestFit="1" customWidth="1"/>
    <col min="14084" max="14084" width="7.5" bestFit="1" customWidth="1"/>
    <col min="14085" max="14085" width="15.375" bestFit="1" customWidth="1"/>
    <col min="14086" max="14086" width="7.5" bestFit="1" customWidth="1"/>
    <col min="14087" max="14087" width="16.875" bestFit="1" customWidth="1"/>
    <col min="14331" max="14331" width="2.875" customWidth="1"/>
    <col min="14332" max="14332" width="49" customWidth="1"/>
    <col min="14333" max="14333" width="16.875" bestFit="1" customWidth="1"/>
    <col min="14334" max="14334" width="13.625" bestFit="1" customWidth="1"/>
    <col min="14335" max="14335" width="15.375" bestFit="1" customWidth="1"/>
    <col min="14336" max="14336" width="7.5" bestFit="1" customWidth="1"/>
    <col min="14337" max="14337" width="15.25" customWidth="1"/>
    <col min="14338" max="14338" width="7.5" bestFit="1" customWidth="1"/>
    <col min="14339" max="14339" width="15.375" bestFit="1" customWidth="1"/>
    <col min="14340" max="14340" width="7.5" bestFit="1" customWidth="1"/>
    <col min="14341" max="14341" width="15.375" bestFit="1" customWidth="1"/>
    <col min="14342" max="14342" width="7.5" bestFit="1" customWidth="1"/>
    <col min="14343" max="14343" width="16.875" bestFit="1" customWidth="1"/>
    <col min="14587" max="14587" width="2.875" customWidth="1"/>
    <col min="14588" max="14588" width="49" customWidth="1"/>
    <col min="14589" max="14589" width="16.875" bestFit="1" customWidth="1"/>
    <col min="14590" max="14590" width="13.625" bestFit="1" customWidth="1"/>
    <col min="14591" max="14591" width="15.375" bestFit="1" customWidth="1"/>
    <col min="14592" max="14592" width="7.5" bestFit="1" customWidth="1"/>
    <col min="14593" max="14593" width="15.25" customWidth="1"/>
    <col min="14594" max="14594" width="7.5" bestFit="1" customWidth="1"/>
    <col min="14595" max="14595" width="15.375" bestFit="1" customWidth="1"/>
    <col min="14596" max="14596" width="7.5" bestFit="1" customWidth="1"/>
    <col min="14597" max="14597" width="15.375" bestFit="1" customWidth="1"/>
    <col min="14598" max="14598" width="7.5" bestFit="1" customWidth="1"/>
    <col min="14599" max="14599" width="16.875" bestFit="1" customWidth="1"/>
    <col min="14843" max="14843" width="2.875" customWidth="1"/>
    <col min="14844" max="14844" width="49" customWidth="1"/>
    <col min="14845" max="14845" width="16.875" bestFit="1" customWidth="1"/>
    <col min="14846" max="14846" width="13.625" bestFit="1" customWidth="1"/>
    <col min="14847" max="14847" width="15.375" bestFit="1" customWidth="1"/>
    <col min="14848" max="14848" width="7.5" bestFit="1" customWidth="1"/>
    <col min="14849" max="14849" width="15.25" customWidth="1"/>
    <col min="14850" max="14850" width="7.5" bestFit="1" customWidth="1"/>
    <col min="14851" max="14851" width="15.375" bestFit="1" customWidth="1"/>
    <col min="14852" max="14852" width="7.5" bestFit="1" customWidth="1"/>
    <col min="14853" max="14853" width="15.375" bestFit="1" customWidth="1"/>
    <col min="14854" max="14854" width="7.5" bestFit="1" customWidth="1"/>
    <col min="14855" max="14855" width="16.875" bestFit="1" customWidth="1"/>
    <col min="15099" max="15099" width="2.875" customWidth="1"/>
    <col min="15100" max="15100" width="49" customWidth="1"/>
    <col min="15101" max="15101" width="16.875" bestFit="1" customWidth="1"/>
    <col min="15102" max="15102" width="13.625" bestFit="1" customWidth="1"/>
    <col min="15103" max="15103" width="15.375" bestFit="1" customWidth="1"/>
    <col min="15104" max="15104" width="7.5" bestFit="1" customWidth="1"/>
    <col min="15105" max="15105" width="15.25" customWidth="1"/>
    <col min="15106" max="15106" width="7.5" bestFit="1" customWidth="1"/>
    <col min="15107" max="15107" width="15.375" bestFit="1" customWidth="1"/>
    <col min="15108" max="15108" width="7.5" bestFit="1" customWidth="1"/>
    <col min="15109" max="15109" width="15.375" bestFit="1" customWidth="1"/>
    <col min="15110" max="15110" width="7.5" bestFit="1" customWidth="1"/>
    <col min="15111" max="15111" width="16.875" bestFit="1" customWidth="1"/>
    <col min="15355" max="15355" width="2.875" customWidth="1"/>
    <col min="15356" max="15356" width="49" customWidth="1"/>
    <col min="15357" max="15357" width="16.875" bestFit="1" customWidth="1"/>
    <col min="15358" max="15358" width="13.625" bestFit="1" customWidth="1"/>
    <col min="15359" max="15359" width="15.375" bestFit="1" customWidth="1"/>
    <col min="15360" max="15360" width="7.5" bestFit="1" customWidth="1"/>
    <col min="15361" max="15361" width="15.25" customWidth="1"/>
    <col min="15362" max="15362" width="7.5" bestFit="1" customWidth="1"/>
    <col min="15363" max="15363" width="15.375" bestFit="1" customWidth="1"/>
    <col min="15364" max="15364" width="7.5" bestFit="1" customWidth="1"/>
    <col min="15365" max="15365" width="15.375" bestFit="1" customWidth="1"/>
    <col min="15366" max="15366" width="7.5" bestFit="1" customWidth="1"/>
    <col min="15367" max="15367" width="16.875" bestFit="1" customWidth="1"/>
    <col min="15611" max="15611" width="2.875" customWidth="1"/>
    <col min="15612" max="15612" width="49" customWidth="1"/>
    <col min="15613" max="15613" width="16.875" bestFit="1" customWidth="1"/>
    <col min="15614" max="15614" width="13.625" bestFit="1" customWidth="1"/>
    <col min="15615" max="15615" width="15.375" bestFit="1" customWidth="1"/>
    <col min="15616" max="15616" width="7.5" bestFit="1" customWidth="1"/>
    <col min="15617" max="15617" width="15.25" customWidth="1"/>
    <col min="15618" max="15618" width="7.5" bestFit="1" customWidth="1"/>
    <col min="15619" max="15619" width="15.375" bestFit="1" customWidth="1"/>
    <col min="15620" max="15620" width="7.5" bestFit="1" customWidth="1"/>
    <col min="15621" max="15621" width="15.375" bestFit="1" customWidth="1"/>
    <col min="15622" max="15622" width="7.5" bestFit="1" customWidth="1"/>
    <col min="15623" max="15623" width="16.875" bestFit="1" customWidth="1"/>
    <col min="15867" max="15867" width="2.875" customWidth="1"/>
    <col min="15868" max="15868" width="49" customWidth="1"/>
    <col min="15869" max="15869" width="16.875" bestFit="1" customWidth="1"/>
    <col min="15870" max="15870" width="13.625" bestFit="1" customWidth="1"/>
    <col min="15871" max="15871" width="15.375" bestFit="1" customWidth="1"/>
    <col min="15872" max="15872" width="7.5" bestFit="1" customWidth="1"/>
    <col min="15873" max="15873" width="15.25" customWidth="1"/>
    <col min="15874" max="15874" width="7.5" bestFit="1" customWidth="1"/>
    <col min="15875" max="15875" width="15.375" bestFit="1" customWidth="1"/>
    <col min="15876" max="15876" width="7.5" bestFit="1" customWidth="1"/>
    <col min="15877" max="15877" width="15.375" bestFit="1" customWidth="1"/>
    <col min="15878" max="15878" width="7.5" bestFit="1" customWidth="1"/>
    <col min="15879" max="15879" width="16.875" bestFit="1" customWidth="1"/>
    <col min="16123" max="16123" width="2.875" customWidth="1"/>
    <col min="16124" max="16124" width="49" customWidth="1"/>
    <col min="16125" max="16125" width="16.875" bestFit="1" customWidth="1"/>
    <col min="16126" max="16126" width="13.625" bestFit="1" customWidth="1"/>
    <col min="16127" max="16127" width="15.375" bestFit="1" customWidth="1"/>
    <col min="16128" max="16128" width="7.5" bestFit="1" customWidth="1"/>
    <col min="16129" max="16129" width="15.25" customWidth="1"/>
    <col min="16130" max="16130" width="7.5" bestFit="1" customWidth="1"/>
    <col min="16131" max="16131" width="15.375" bestFit="1" customWidth="1"/>
    <col min="16132" max="16132" width="7.5" bestFit="1" customWidth="1"/>
    <col min="16133" max="16133" width="15.375" bestFit="1" customWidth="1"/>
    <col min="16134" max="16134" width="7.5" bestFit="1" customWidth="1"/>
    <col min="16135" max="16135" width="16.875" bestFit="1" customWidth="1"/>
  </cols>
  <sheetData>
    <row r="1" spans="1:2009" s="10" customFormat="1" ht="18" x14ac:dyDescent="0.25">
      <c r="A1" s="8" t="s">
        <v>0</v>
      </c>
      <c r="B1" s="8"/>
      <c r="C1" s="9"/>
      <c r="D1" s="9"/>
      <c r="E1" s="20"/>
      <c r="F1" s="20"/>
      <c r="G1" s="503"/>
      <c r="H1" s="20"/>
      <c r="I1" s="20"/>
      <c r="J1" s="20"/>
      <c r="K1" s="20"/>
      <c r="L1" s="20"/>
      <c r="M1" s="20"/>
      <c r="N1" s="20"/>
      <c r="O1" s="20"/>
      <c r="P1" s="20"/>
      <c r="Q1" s="20"/>
      <c r="R1" s="20"/>
      <c r="S1" s="20"/>
      <c r="T1" s="20"/>
      <c r="U1" s="20"/>
      <c r="V1" s="20"/>
      <c r="W1" s="20"/>
      <c r="X1" s="22"/>
      <c r="Y1" s="22"/>
      <c r="Z1" s="22"/>
      <c r="AA1" s="22"/>
      <c r="AB1" s="22"/>
      <c r="AC1" s="22"/>
      <c r="AD1" s="22"/>
      <c r="AE1" s="22"/>
      <c r="AF1" s="22"/>
      <c r="AG1" s="22"/>
      <c r="AH1" s="22"/>
    </row>
    <row r="2" spans="1:2009" s="10" customFormat="1" ht="18" customHeight="1" x14ac:dyDescent="0.25">
      <c r="A2" s="11" t="s">
        <v>643</v>
      </c>
      <c r="B2" s="11"/>
      <c r="C2" s="9"/>
      <c r="D2" s="9"/>
      <c r="E2" s="20"/>
      <c r="F2" s="20"/>
      <c r="G2" s="503"/>
      <c r="H2" s="20"/>
      <c r="I2" s="20"/>
      <c r="J2" s="20"/>
      <c r="K2" s="20"/>
      <c r="L2" s="20"/>
      <c r="M2" s="20"/>
      <c r="N2" s="20"/>
      <c r="O2" s="20"/>
      <c r="P2" s="20"/>
      <c r="Q2" s="20"/>
      <c r="R2" s="20"/>
      <c r="S2" s="20"/>
      <c r="T2" s="20"/>
      <c r="U2" s="20"/>
      <c r="V2" s="20"/>
      <c r="W2" s="20"/>
      <c r="X2" s="22"/>
      <c r="Y2" s="22"/>
      <c r="Z2" s="22"/>
      <c r="AA2" s="22"/>
      <c r="AB2" s="22"/>
      <c r="AC2" s="22"/>
      <c r="AD2" s="22"/>
      <c r="AE2" s="22"/>
      <c r="AF2" s="22"/>
      <c r="AG2" s="22"/>
      <c r="AH2" s="22"/>
    </row>
    <row r="3" spans="1:2009" ht="15.75" x14ac:dyDescent="0.25">
      <c r="E3" s="502"/>
      <c r="F3" s="70"/>
    </row>
    <row r="4" spans="1:2009" s="3" customFormat="1" ht="16.5" thickBot="1" x14ac:dyDescent="0.3">
      <c r="A4" s="44"/>
      <c r="B4" s="44"/>
      <c r="C4" s="70" t="s">
        <v>644</v>
      </c>
      <c r="D4" s="70" t="s">
        <v>645</v>
      </c>
      <c r="E4" s="70" t="s">
        <v>625</v>
      </c>
      <c r="F4" s="70" t="s">
        <v>657</v>
      </c>
      <c r="G4" s="505" t="s">
        <v>400</v>
      </c>
      <c r="I4" s="26"/>
    </row>
    <row r="5" spans="1:2009" ht="24.95" customHeight="1" x14ac:dyDescent="0.25">
      <c r="A5" s="847" t="s">
        <v>65</v>
      </c>
      <c r="B5" s="848"/>
      <c r="C5" s="114"/>
      <c r="D5" s="114"/>
      <c r="E5" s="122"/>
      <c r="F5" s="122"/>
      <c r="G5" s="506"/>
    </row>
    <row r="6" spans="1:2009" s="190" customFormat="1" ht="24.95" hidden="1" customHeight="1" x14ac:dyDescent="0.25">
      <c r="A6" s="274"/>
      <c r="B6" s="92" t="s">
        <v>542</v>
      </c>
      <c r="C6" s="129"/>
      <c r="D6" s="129"/>
      <c r="E6" s="129"/>
      <c r="F6" s="130"/>
      <c r="G6" s="507">
        <f>ROUND(SUM(C6:F6),5)</f>
        <v>0</v>
      </c>
      <c r="I6" s="21"/>
    </row>
    <row r="7" spans="1:2009" s="71" customFormat="1" ht="24.95" customHeight="1" x14ac:dyDescent="0.25">
      <c r="A7" s="96"/>
      <c r="B7" s="92" t="s">
        <v>626</v>
      </c>
      <c r="C7" s="129">
        <v>10442.030000000001</v>
      </c>
      <c r="D7" s="129">
        <v>33774.03</v>
      </c>
      <c r="E7" s="129"/>
      <c r="F7" s="130"/>
      <c r="G7" s="507">
        <f>ROUND(SUM(C7:F7),5)</f>
        <v>44216.06</v>
      </c>
      <c r="H7"/>
      <c r="I7" s="21"/>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QI7"/>
      <c r="BQJ7"/>
      <c r="BQK7"/>
      <c r="BQL7"/>
      <c r="BQM7"/>
      <c r="BQN7"/>
      <c r="BQO7"/>
      <c r="BQP7"/>
      <c r="BQQ7"/>
      <c r="BQR7"/>
      <c r="BQS7"/>
      <c r="BQT7"/>
      <c r="BQU7"/>
      <c r="BQV7"/>
      <c r="BQW7"/>
      <c r="BQX7"/>
      <c r="BQY7"/>
      <c r="BQZ7"/>
      <c r="BRA7"/>
      <c r="BRB7"/>
      <c r="BRC7"/>
      <c r="BRD7"/>
      <c r="BRE7"/>
      <c r="BRF7"/>
      <c r="BRG7"/>
      <c r="BRH7"/>
      <c r="BRI7"/>
      <c r="BRJ7"/>
      <c r="BRK7"/>
      <c r="BRL7"/>
      <c r="BRM7"/>
      <c r="BRN7"/>
      <c r="BRO7"/>
      <c r="BRP7"/>
      <c r="BRQ7"/>
      <c r="BRR7"/>
      <c r="BRS7"/>
      <c r="BRT7"/>
      <c r="BRU7"/>
      <c r="BRV7"/>
      <c r="BRW7"/>
      <c r="BRX7"/>
      <c r="BRY7"/>
      <c r="BRZ7"/>
      <c r="BSA7"/>
      <c r="BSB7"/>
      <c r="BSC7"/>
      <c r="BSD7"/>
      <c r="BSE7"/>
      <c r="BSF7"/>
      <c r="BSG7"/>
      <c r="BSH7"/>
      <c r="BSI7"/>
      <c r="BSJ7"/>
      <c r="BSK7"/>
      <c r="BSL7"/>
      <c r="BSM7"/>
      <c r="BSN7"/>
      <c r="BSO7"/>
      <c r="BSP7"/>
      <c r="BSQ7"/>
      <c r="BSR7"/>
      <c r="BSS7"/>
      <c r="BST7"/>
      <c r="BSU7"/>
      <c r="BSV7"/>
      <c r="BSW7"/>
      <c r="BSX7"/>
      <c r="BSY7"/>
      <c r="BSZ7"/>
      <c r="BTA7"/>
      <c r="BTB7"/>
      <c r="BTC7"/>
      <c r="BTD7"/>
      <c r="BTE7"/>
      <c r="BTF7"/>
      <c r="BTG7"/>
      <c r="BTH7"/>
      <c r="BTI7"/>
      <c r="BTJ7"/>
      <c r="BTK7"/>
      <c r="BTL7"/>
      <c r="BTM7"/>
      <c r="BTN7"/>
      <c r="BTO7"/>
      <c r="BTP7"/>
      <c r="BTQ7"/>
      <c r="BTR7"/>
      <c r="BTS7"/>
      <c r="BTT7"/>
      <c r="BTU7"/>
      <c r="BTV7"/>
      <c r="BTW7"/>
      <c r="BTX7"/>
      <c r="BTY7"/>
      <c r="BTZ7"/>
      <c r="BUA7"/>
      <c r="BUB7"/>
      <c r="BUC7"/>
      <c r="BUD7"/>
      <c r="BUE7"/>
      <c r="BUF7"/>
      <c r="BUG7"/>
      <c r="BUH7"/>
      <c r="BUI7"/>
      <c r="BUJ7"/>
      <c r="BUK7"/>
      <c r="BUL7"/>
      <c r="BUM7"/>
      <c r="BUN7"/>
      <c r="BUO7"/>
      <c r="BUP7"/>
      <c r="BUQ7"/>
      <c r="BUR7"/>
      <c r="BUS7"/>
      <c r="BUT7"/>
      <c r="BUU7"/>
      <c r="BUV7"/>
      <c r="BUW7"/>
      <c r="BUX7"/>
      <c r="BUY7"/>
      <c r="BUZ7"/>
      <c r="BVA7"/>
      <c r="BVB7"/>
      <c r="BVC7"/>
      <c r="BVD7"/>
      <c r="BVE7"/>
      <c r="BVF7"/>
      <c r="BVG7"/>
      <c r="BVH7"/>
      <c r="BVI7"/>
      <c r="BVJ7"/>
      <c r="BVK7"/>
      <c r="BVL7"/>
      <c r="BVM7"/>
      <c r="BVN7"/>
      <c r="BVO7"/>
      <c r="BVP7"/>
      <c r="BVQ7"/>
      <c r="BVR7"/>
      <c r="BVS7"/>
      <c r="BVT7"/>
      <c r="BVU7"/>
      <c r="BVV7"/>
      <c r="BVW7"/>
      <c r="BVX7"/>
      <c r="BVY7"/>
      <c r="BVZ7"/>
      <c r="BWA7"/>
      <c r="BWB7"/>
      <c r="BWC7"/>
      <c r="BWD7"/>
      <c r="BWE7"/>
      <c r="BWF7"/>
      <c r="BWG7"/>
      <c r="BWH7"/>
      <c r="BWI7"/>
      <c r="BWJ7"/>
      <c r="BWK7"/>
      <c r="BWL7"/>
      <c r="BWM7"/>
      <c r="BWN7"/>
      <c r="BWO7"/>
      <c r="BWP7"/>
      <c r="BWQ7"/>
      <c r="BWR7"/>
      <c r="BWS7"/>
      <c r="BWT7"/>
      <c r="BWU7"/>
      <c r="BWV7"/>
      <c r="BWW7"/>
      <c r="BWX7"/>
      <c r="BWY7"/>
      <c r="BWZ7"/>
      <c r="BXA7"/>
      <c r="BXB7"/>
      <c r="BXC7"/>
      <c r="BXD7"/>
      <c r="BXE7"/>
      <c r="BXF7"/>
      <c r="BXG7"/>
      <c r="BXH7"/>
      <c r="BXI7"/>
      <c r="BXJ7"/>
      <c r="BXK7"/>
      <c r="BXL7"/>
      <c r="BXM7"/>
      <c r="BXN7"/>
      <c r="BXO7"/>
      <c r="BXP7"/>
      <c r="BXQ7"/>
      <c r="BXR7"/>
      <c r="BXS7"/>
      <c r="BXT7"/>
      <c r="BXU7"/>
      <c r="BXV7"/>
      <c r="BXW7"/>
      <c r="BXX7"/>
      <c r="BXY7"/>
      <c r="BXZ7"/>
      <c r="BYA7"/>
      <c r="BYB7"/>
      <c r="BYC7"/>
      <c r="BYD7"/>
      <c r="BYE7"/>
      <c r="BYF7"/>
      <c r="BYG7"/>
    </row>
    <row r="8" spans="1:2009" s="161" customFormat="1" ht="24.95" customHeight="1" thickBot="1" x14ac:dyDescent="0.3">
      <c r="A8" s="158"/>
      <c r="B8" s="159" t="s">
        <v>153</v>
      </c>
      <c r="C8" s="641">
        <f>SUM(C5:C7)</f>
        <v>10442.030000000001</v>
      </c>
      <c r="D8" s="641">
        <f>SUM(D5:D7)</f>
        <v>33774.03</v>
      </c>
      <c r="E8" s="641"/>
      <c r="F8" s="641"/>
      <c r="G8" s="642">
        <f>ROUND(SUM(G3:G7),5)</f>
        <v>44216.06</v>
      </c>
      <c r="H8" s="160"/>
      <c r="I8" s="21"/>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c r="DL8" s="160"/>
      <c r="DM8" s="160"/>
      <c r="DN8" s="160"/>
      <c r="DO8" s="160"/>
      <c r="DP8" s="160"/>
      <c r="DQ8" s="160"/>
      <c r="DR8" s="160"/>
      <c r="DS8" s="160"/>
      <c r="DT8" s="160"/>
      <c r="DU8" s="160"/>
      <c r="DV8" s="160"/>
      <c r="DW8" s="160"/>
      <c r="DX8" s="160"/>
      <c r="DY8" s="160"/>
      <c r="DZ8" s="160"/>
      <c r="EA8" s="160"/>
      <c r="EB8" s="160"/>
      <c r="EC8" s="160"/>
      <c r="ED8" s="160"/>
      <c r="EE8" s="160"/>
      <c r="EF8" s="160"/>
      <c r="EG8" s="160"/>
      <c r="EH8" s="160"/>
      <c r="EI8" s="160"/>
      <c r="EJ8" s="160"/>
      <c r="EK8" s="160"/>
      <c r="EL8" s="160"/>
      <c r="EM8" s="160"/>
      <c r="EN8" s="160"/>
      <c r="EO8" s="160"/>
      <c r="EP8" s="160"/>
      <c r="EQ8" s="160"/>
      <c r="ER8" s="160"/>
      <c r="ES8" s="160"/>
      <c r="ET8" s="160"/>
      <c r="EU8" s="160"/>
      <c r="EV8" s="160"/>
      <c r="EW8" s="160"/>
      <c r="EX8" s="160"/>
      <c r="EY8" s="160"/>
      <c r="EZ8" s="160"/>
      <c r="FA8" s="160"/>
      <c r="FB8" s="160"/>
      <c r="FC8" s="160"/>
      <c r="FD8" s="160"/>
      <c r="FE8" s="160"/>
      <c r="FF8" s="160"/>
      <c r="FG8" s="160"/>
      <c r="FH8" s="160"/>
      <c r="FI8" s="160"/>
      <c r="FJ8" s="160"/>
      <c r="FK8" s="160"/>
      <c r="FL8" s="160"/>
      <c r="FM8" s="160"/>
      <c r="FN8" s="160"/>
      <c r="FO8" s="160"/>
      <c r="FP8" s="160"/>
      <c r="FQ8" s="160"/>
      <c r="FR8" s="160"/>
      <c r="FS8" s="160"/>
      <c r="FT8" s="160"/>
      <c r="FU8" s="160"/>
      <c r="FV8" s="160"/>
      <c r="FW8" s="160"/>
      <c r="FX8" s="160"/>
      <c r="FY8" s="160"/>
      <c r="FZ8" s="160"/>
      <c r="GA8" s="160"/>
      <c r="GB8" s="160"/>
      <c r="GC8" s="160"/>
      <c r="GD8" s="160"/>
      <c r="GE8" s="160"/>
      <c r="GF8" s="160"/>
      <c r="GG8" s="160"/>
      <c r="GH8" s="160"/>
      <c r="GI8" s="160"/>
      <c r="GJ8" s="160"/>
      <c r="GK8" s="160"/>
      <c r="GL8" s="160"/>
      <c r="GM8" s="160"/>
      <c r="GN8" s="160"/>
      <c r="GO8" s="160"/>
      <c r="GP8" s="160"/>
      <c r="GQ8" s="160"/>
      <c r="GR8" s="160"/>
      <c r="GS8" s="160"/>
      <c r="GT8" s="160"/>
      <c r="GU8" s="160"/>
      <c r="GV8" s="160"/>
      <c r="GW8" s="160"/>
      <c r="GX8" s="160"/>
      <c r="GY8" s="160"/>
      <c r="GZ8" s="160"/>
      <c r="HA8" s="160"/>
      <c r="HB8" s="160"/>
      <c r="HC8" s="160"/>
      <c r="HD8" s="160"/>
      <c r="HE8" s="160"/>
      <c r="HF8" s="160"/>
      <c r="HG8" s="160"/>
      <c r="HH8" s="160"/>
      <c r="HI8" s="160"/>
      <c r="HJ8" s="160"/>
      <c r="HK8" s="160"/>
      <c r="HL8" s="160"/>
      <c r="HM8" s="160"/>
      <c r="HN8" s="160"/>
      <c r="HO8" s="160"/>
      <c r="HP8" s="160"/>
      <c r="HQ8" s="160"/>
      <c r="HR8" s="160"/>
      <c r="HS8" s="160"/>
      <c r="HT8" s="160"/>
      <c r="HU8" s="160"/>
      <c r="HV8" s="160"/>
      <c r="HW8" s="160"/>
      <c r="HX8" s="160"/>
      <c r="HY8" s="160"/>
      <c r="HZ8" s="160"/>
      <c r="IA8" s="160"/>
      <c r="IB8" s="160"/>
      <c r="IC8" s="160"/>
      <c r="ID8" s="160"/>
      <c r="IE8" s="160"/>
      <c r="IF8" s="160"/>
      <c r="IG8" s="160"/>
      <c r="IH8" s="160"/>
      <c r="II8" s="160"/>
      <c r="IJ8" s="160"/>
      <c r="IK8" s="160"/>
      <c r="IL8" s="160"/>
      <c r="IM8" s="160"/>
      <c r="IN8" s="160"/>
      <c r="IO8" s="160"/>
      <c r="IP8" s="160"/>
      <c r="IQ8" s="160"/>
      <c r="IR8" s="160"/>
      <c r="IS8" s="160"/>
      <c r="IT8" s="160"/>
      <c r="IU8" s="160"/>
      <c r="IV8" s="160"/>
      <c r="IW8" s="160"/>
      <c r="IX8" s="160"/>
      <c r="IY8" s="160"/>
      <c r="IZ8" s="160"/>
      <c r="JA8" s="160"/>
      <c r="JB8" s="160"/>
      <c r="JC8" s="160"/>
      <c r="JD8" s="160"/>
      <c r="JE8" s="160"/>
      <c r="JF8" s="160"/>
      <c r="JG8" s="160"/>
      <c r="JH8" s="160"/>
      <c r="JI8" s="160"/>
      <c r="JJ8" s="160"/>
      <c r="JK8" s="160"/>
      <c r="JL8" s="160"/>
      <c r="JM8" s="160"/>
      <c r="JN8" s="160"/>
      <c r="JO8" s="160"/>
      <c r="JP8" s="160"/>
      <c r="JQ8" s="160"/>
      <c r="JR8" s="160"/>
      <c r="JS8" s="160"/>
      <c r="JT8" s="160"/>
      <c r="JU8" s="160"/>
      <c r="JV8" s="160"/>
      <c r="JW8" s="160"/>
      <c r="JX8" s="160"/>
      <c r="JY8" s="160"/>
      <c r="JZ8" s="160"/>
      <c r="KA8" s="160"/>
      <c r="KB8" s="160"/>
      <c r="KC8" s="160"/>
      <c r="KD8" s="160"/>
      <c r="KE8" s="160"/>
      <c r="KF8" s="160"/>
      <c r="KG8" s="160"/>
      <c r="KH8" s="160"/>
      <c r="KI8" s="160"/>
      <c r="KJ8" s="160"/>
      <c r="KK8" s="160"/>
      <c r="KL8" s="160"/>
      <c r="KM8" s="160"/>
      <c r="KN8" s="160"/>
      <c r="KO8" s="160"/>
      <c r="KP8" s="160"/>
      <c r="KQ8" s="160"/>
      <c r="KR8" s="160"/>
      <c r="KS8" s="160"/>
      <c r="KT8" s="160"/>
      <c r="KU8" s="160"/>
      <c r="KV8" s="160"/>
      <c r="KW8" s="160"/>
      <c r="KX8" s="160"/>
      <c r="KY8" s="160"/>
      <c r="KZ8" s="160"/>
      <c r="LA8" s="160"/>
      <c r="LB8" s="160"/>
      <c r="LC8" s="160"/>
      <c r="LD8" s="160"/>
      <c r="LE8" s="160"/>
      <c r="LF8" s="160"/>
      <c r="LG8" s="160"/>
      <c r="LH8" s="160"/>
      <c r="LI8" s="160"/>
      <c r="LJ8" s="160"/>
      <c r="LK8" s="160"/>
      <c r="LL8" s="160"/>
      <c r="LM8" s="160"/>
      <c r="LN8" s="160"/>
      <c r="LO8" s="160"/>
      <c r="LP8" s="160"/>
      <c r="LQ8" s="160"/>
      <c r="LR8" s="160"/>
      <c r="LS8" s="160"/>
      <c r="LT8" s="160"/>
      <c r="LU8" s="160"/>
      <c r="LV8" s="160"/>
      <c r="LW8" s="160"/>
      <c r="LX8" s="160"/>
      <c r="LY8" s="160"/>
      <c r="LZ8" s="160"/>
      <c r="MA8" s="160"/>
      <c r="MB8" s="160"/>
      <c r="MC8" s="160"/>
      <c r="MD8" s="160"/>
      <c r="ME8" s="160"/>
      <c r="MF8" s="160"/>
      <c r="MG8" s="160"/>
      <c r="MH8" s="160"/>
      <c r="MI8" s="160"/>
      <c r="MJ8" s="160"/>
      <c r="MK8" s="160"/>
      <c r="ML8" s="160"/>
      <c r="MM8" s="160"/>
      <c r="MN8" s="160"/>
      <c r="MO8" s="160"/>
      <c r="MP8" s="160"/>
      <c r="MQ8" s="160"/>
      <c r="MR8" s="160"/>
      <c r="MS8" s="160"/>
      <c r="MT8" s="160"/>
      <c r="MU8" s="160"/>
      <c r="MV8" s="160"/>
      <c r="MW8" s="160"/>
      <c r="MX8" s="160"/>
      <c r="MY8" s="160"/>
      <c r="MZ8" s="160"/>
      <c r="NA8" s="160"/>
      <c r="NB8" s="160"/>
      <c r="NC8" s="160"/>
      <c r="ND8" s="160"/>
      <c r="NE8" s="160"/>
      <c r="NF8" s="160"/>
      <c r="NG8" s="160"/>
      <c r="NH8" s="160"/>
      <c r="NI8" s="160"/>
      <c r="NJ8" s="160"/>
      <c r="NK8" s="160"/>
      <c r="NL8" s="160"/>
      <c r="NM8" s="160"/>
      <c r="NN8" s="160"/>
      <c r="NO8" s="160"/>
      <c r="NP8" s="160"/>
      <c r="NQ8" s="160"/>
      <c r="NR8" s="160"/>
      <c r="NS8" s="160"/>
      <c r="NT8" s="160"/>
      <c r="NU8" s="160"/>
      <c r="NV8" s="160"/>
      <c r="NW8" s="160"/>
      <c r="NX8" s="160"/>
      <c r="NY8" s="160"/>
      <c r="NZ8" s="160"/>
      <c r="OA8" s="160"/>
      <c r="OB8" s="160"/>
      <c r="OC8" s="160"/>
      <c r="OD8" s="160"/>
      <c r="OE8" s="160"/>
      <c r="OF8" s="160"/>
      <c r="OG8" s="160"/>
      <c r="OH8" s="160"/>
      <c r="OI8" s="160"/>
      <c r="OJ8" s="160"/>
      <c r="OK8" s="160"/>
      <c r="OL8" s="160"/>
      <c r="OM8" s="160"/>
      <c r="ON8" s="160"/>
      <c r="OO8" s="160"/>
      <c r="OP8" s="160"/>
      <c r="OQ8" s="160"/>
      <c r="OR8" s="160"/>
      <c r="OS8" s="160"/>
      <c r="OT8" s="160"/>
      <c r="OU8" s="160"/>
      <c r="OV8" s="160"/>
      <c r="OW8" s="160"/>
      <c r="OX8" s="160"/>
      <c r="OY8" s="160"/>
      <c r="OZ8" s="160"/>
      <c r="PA8" s="160"/>
      <c r="PB8" s="160"/>
      <c r="PC8" s="160"/>
      <c r="PD8" s="160"/>
      <c r="PE8" s="160"/>
      <c r="PF8" s="160"/>
      <c r="PG8" s="160"/>
      <c r="PH8" s="160"/>
      <c r="PI8" s="160"/>
      <c r="PJ8" s="160"/>
      <c r="PK8" s="160"/>
      <c r="PL8" s="160"/>
      <c r="PM8" s="160"/>
      <c r="PN8" s="160"/>
      <c r="PO8" s="160"/>
      <c r="PP8" s="160"/>
      <c r="PQ8" s="160"/>
      <c r="PR8" s="160"/>
      <c r="PS8" s="160"/>
      <c r="PT8" s="160"/>
      <c r="PU8" s="160"/>
      <c r="PV8" s="160"/>
      <c r="PW8" s="160"/>
      <c r="PX8" s="160"/>
      <c r="PY8" s="160"/>
      <c r="PZ8" s="160"/>
      <c r="QA8" s="160"/>
      <c r="QB8" s="160"/>
      <c r="QC8" s="160"/>
      <c r="QD8" s="160"/>
      <c r="QE8" s="160"/>
      <c r="QF8" s="160"/>
      <c r="QG8" s="160"/>
      <c r="QH8" s="160"/>
      <c r="QI8" s="160"/>
      <c r="QJ8" s="160"/>
      <c r="QK8" s="160"/>
      <c r="QL8" s="160"/>
      <c r="QM8" s="160"/>
      <c r="QN8" s="160"/>
      <c r="QO8" s="160"/>
      <c r="QP8" s="160"/>
      <c r="QQ8" s="160"/>
      <c r="QR8" s="160"/>
      <c r="QS8" s="160"/>
      <c r="QT8" s="160"/>
      <c r="QU8" s="160"/>
      <c r="QV8" s="160"/>
      <c r="QW8" s="160"/>
      <c r="QX8" s="160"/>
      <c r="QY8" s="160"/>
      <c r="QZ8" s="160"/>
      <c r="RA8" s="160"/>
      <c r="RB8" s="160"/>
      <c r="RC8" s="160"/>
      <c r="RD8" s="160"/>
      <c r="RE8" s="160"/>
      <c r="RF8" s="160"/>
      <c r="RG8" s="160"/>
      <c r="RH8" s="160"/>
      <c r="RI8" s="160"/>
      <c r="RJ8" s="160"/>
      <c r="RK8" s="160"/>
      <c r="RL8" s="160"/>
      <c r="RM8" s="160"/>
      <c r="RN8" s="160"/>
      <c r="RO8" s="160"/>
      <c r="RP8" s="160"/>
      <c r="RQ8" s="160"/>
      <c r="RR8" s="160"/>
      <c r="RS8" s="160"/>
      <c r="RT8" s="160"/>
      <c r="RU8" s="160"/>
      <c r="RV8" s="160"/>
      <c r="RW8" s="160"/>
      <c r="RX8" s="160"/>
      <c r="RY8" s="160"/>
      <c r="RZ8" s="160"/>
      <c r="SA8" s="160"/>
      <c r="SB8" s="160"/>
      <c r="SC8" s="160"/>
      <c r="SD8" s="160"/>
      <c r="SE8" s="160"/>
      <c r="SF8" s="160"/>
      <c r="SG8" s="160"/>
      <c r="SH8" s="160"/>
      <c r="SI8" s="160"/>
      <c r="SJ8" s="160"/>
      <c r="SK8" s="160"/>
      <c r="SL8" s="160"/>
      <c r="SM8" s="160"/>
      <c r="SN8" s="160"/>
      <c r="SO8" s="160"/>
      <c r="SP8" s="160"/>
      <c r="SQ8" s="160"/>
      <c r="SR8" s="160"/>
      <c r="SS8" s="160"/>
      <c r="ST8" s="160"/>
      <c r="SU8" s="160"/>
      <c r="SV8" s="160"/>
      <c r="SW8" s="160"/>
      <c r="SX8" s="160"/>
      <c r="SY8" s="160"/>
      <c r="SZ8" s="160"/>
      <c r="TA8" s="160"/>
      <c r="TB8" s="160"/>
      <c r="TC8" s="160"/>
      <c r="TD8" s="160"/>
      <c r="TE8" s="160"/>
      <c r="TF8" s="160"/>
      <c r="TG8" s="160"/>
      <c r="TH8" s="160"/>
      <c r="TI8" s="160"/>
      <c r="TJ8" s="160"/>
      <c r="TK8" s="160"/>
      <c r="TL8" s="160"/>
      <c r="TM8" s="160"/>
      <c r="TN8" s="160"/>
      <c r="TO8" s="160"/>
      <c r="TP8" s="160"/>
      <c r="TQ8" s="160"/>
      <c r="TR8" s="160"/>
      <c r="TS8" s="160"/>
      <c r="TT8" s="160"/>
      <c r="TU8" s="160"/>
      <c r="TV8" s="160"/>
      <c r="TW8" s="160"/>
      <c r="TX8" s="160"/>
      <c r="TY8" s="160"/>
      <c r="TZ8" s="160"/>
      <c r="UA8" s="160"/>
      <c r="UB8" s="160"/>
      <c r="UC8" s="160"/>
      <c r="UD8" s="160"/>
      <c r="UE8" s="160"/>
      <c r="UF8" s="160"/>
      <c r="UG8" s="160"/>
      <c r="UH8" s="160"/>
      <c r="UI8" s="160"/>
      <c r="UJ8" s="160"/>
      <c r="UK8" s="160"/>
      <c r="UL8" s="160"/>
      <c r="UM8" s="160"/>
      <c r="UN8" s="160"/>
      <c r="UO8" s="160"/>
      <c r="UP8" s="160"/>
      <c r="UQ8" s="160"/>
      <c r="UR8" s="160"/>
      <c r="US8" s="160"/>
      <c r="UT8" s="160"/>
      <c r="UU8" s="160"/>
      <c r="UV8" s="160"/>
      <c r="UW8" s="160"/>
      <c r="UX8" s="160"/>
      <c r="UY8" s="160"/>
      <c r="UZ8" s="160"/>
      <c r="VA8" s="160"/>
      <c r="VB8" s="160"/>
      <c r="VC8" s="160"/>
      <c r="VD8" s="160"/>
      <c r="VE8" s="160"/>
      <c r="VF8" s="160"/>
      <c r="VG8" s="160"/>
      <c r="VH8" s="160"/>
      <c r="VI8" s="160"/>
      <c r="VJ8" s="160"/>
      <c r="VK8" s="160"/>
      <c r="VL8" s="160"/>
      <c r="VM8" s="160"/>
      <c r="VN8" s="160"/>
      <c r="VO8" s="160"/>
      <c r="VP8" s="160"/>
      <c r="VQ8" s="160"/>
      <c r="VR8" s="160"/>
      <c r="VS8" s="160"/>
      <c r="VT8" s="160"/>
      <c r="VU8" s="160"/>
      <c r="VV8" s="160"/>
      <c r="VW8" s="160"/>
      <c r="VX8" s="160"/>
      <c r="VY8" s="160"/>
      <c r="VZ8" s="160"/>
      <c r="WA8" s="160"/>
      <c r="WB8" s="160"/>
      <c r="WC8" s="160"/>
      <c r="WD8" s="160"/>
      <c r="WE8" s="160"/>
      <c r="WF8" s="160"/>
      <c r="WG8" s="160"/>
      <c r="WH8" s="160"/>
      <c r="WI8" s="160"/>
      <c r="WJ8" s="160"/>
      <c r="WK8" s="160"/>
      <c r="WL8" s="160"/>
      <c r="WM8" s="160"/>
      <c r="WN8" s="160"/>
      <c r="WO8" s="160"/>
      <c r="WP8" s="160"/>
      <c r="WQ8" s="160"/>
      <c r="WR8" s="160"/>
      <c r="WS8" s="160"/>
      <c r="WT8" s="160"/>
      <c r="WU8" s="160"/>
      <c r="WV8" s="160"/>
      <c r="WW8" s="160"/>
      <c r="WX8" s="160"/>
      <c r="WY8" s="160"/>
      <c r="WZ8" s="160"/>
      <c r="XA8" s="160"/>
      <c r="XB8" s="160"/>
      <c r="XC8" s="160"/>
      <c r="XD8" s="160"/>
      <c r="XE8" s="160"/>
      <c r="XF8" s="160"/>
      <c r="XG8" s="160"/>
      <c r="XH8" s="160"/>
      <c r="XI8" s="160"/>
      <c r="XJ8" s="160"/>
      <c r="XK8" s="160"/>
      <c r="XL8" s="160"/>
      <c r="XM8" s="160"/>
      <c r="XN8" s="160"/>
      <c r="XO8" s="160"/>
      <c r="XP8" s="160"/>
      <c r="XQ8" s="160"/>
      <c r="XR8" s="160"/>
      <c r="XS8" s="160"/>
      <c r="XT8" s="160"/>
      <c r="XU8" s="160"/>
      <c r="XV8" s="160"/>
      <c r="XW8" s="160"/>
      <c r="XX8" s="160"/>
      <c r="XY8" s="160"/>
      <c r="XZ8" s="160"/>
      <c r="YA8" s="160"/>
      <c r="YB8" s="160"/>
      <c r="YC8" s="160"/>
      <c r="YD8" s="160"/>
      <c r="YE8" s="160"/>
      <c r="YF8" s="160"/>
      <c r="YG8" s="160"/>
      <c r="YH8" s="160"/>
      <c r="YI8" s="160"/>
      <c r="YJ8" s="160"/>
      <c r="YK8" s="160"/>
      <c r="YL8" s="160"/>
      <c r="YM8" s="160"/>
      <c r="YN8" s="160"/>
      <c r="YO8" s="160"/>
      <c r="YP8" s="160"/>
      <c r="YQ8" s="160"/>
      <c r="YR8" s="160"/>
      <c r="YS8" s="160"/>
      <c r="YT8" s="160"/>
      <c r="YU8" s="160"/>
      <c r="YV8" s="160"/>
      <c r="YW8" s="160"/>
      <c r="YX8" s="160"/>
      <c r="YY8" s="160"/>
      <c r="YZ8" s="160"/>
      <c r="ZA8" s="160"/>
      <c r="ZB8" s="160"/>
      <c r="ZC8" s="160"/>
      <c r="ZD8" s="160"/>
      <c r="ZE8" s="160"/>
      <c r="ZF8" s="160"/>
      <c r="ZG8" s="160"/>
      <c r="ZH8" s="160"/>
      <c r="ZI8" s="160"/>
      <c r="ZJ8" s="160"/>
      <c r="ZK8" s="160"/>
      <c r="ZL8" s="160"/>
      <c r="ZM8" s="160"/>
      <c r="ZN8" s="160"/>
      <c r="ZO8" s="160"/>
      <c r="ZP8" s="160"/>
      <c r="ZQ8" s="160"/>
      <c r="ZR8" s="160"/>
      <c r="ZS8" s="160"/>
      <c r="ZT8" s="160"/>
      <c r="ZU8" s="160"/>
      <c r="ZV8" s="160"/>
      <c r="ZW8" s="160"/>
      <c r="ZX8" s="160"/>
      <c r="ZY8" s="160"/>
      <c r="ZZ8" s="160"/>
      <c r="AAA8" s="160"/>
      <c r="AAB8" s="160"/>
      <c r="AAC8" s="160"/>
      <c r="AAD8" s="160"/>
      <c r="AAE8" s="160"/>
      <c r="AAF8" s="160"/>
      <c r="AAG8" s="160"/>
      <c r="AAH8" s="160"/>
      <c r="AAI8" s="160"/>
      <c r="AAJ8" s="160"/>
      <c r="AAK8" s="160"/>
      <c r="AAL8" s="160"/>
      <c r="AAM8" s="160"/>
      <c r="AAN8" s="160"/>
      <c r="AAO8" s="160"/>
      <c r="AAP8" s="160"/>
      <c r="AAQ8" s="160"/>
      <c r="AAR8" s="160"/>
      <c r="AAS8" s="160"/>
      <c r="AAT8" s="160"/>
      <c r="AAU8" s="160"/>
      <c r="AAV8" s="160"/>
      <c r="AAW8" s="160"/>
      <c r="AAX8" s="160"/>
      <c r="AAY8" s="160"/>
      <c r="AAZ8" s="160"/>
      <c r="ABA8" s="160"/>
      <c r="ABB8" s="160"/>
      <c r="ABC8" s="160"/>
      <c r="ABD8" s="160"/>
      <c r="ABE8" s="160"/>
      <c r="ABF8" s="160"/>
      <c r="ABG8" s="160"/>
      <c r="ABH8" s="160"/>
      <c r="ABI8" s="160"/>
      <c r="ABJ8" s="160"/>
      <c r="ABK8" s="160"/>
      <c r="ABL8" s="160"/>
      <c r="ABM8" s="160"/>
      <c r="ABN8" s="160"/>
      <c r="ABO8" s="160"/>
      <c r="ABP8" s="160"/>
      <c r="ABQ8" s="160"/>
      <c r="ABR8" s="160"/>
      <c r="ABS8" s="160"/>
      <c r="ABT8" s="160"/>
      <c r="ABU8" s="160"/>
      <c r="ABV8" s="160"/>
      <c r="ABW8" s="160"/>
      <c r="ABX8" s="160"/>
      <c r="ABY8" s="160"/>
      <c r="ABZ8" s="160"/>
      <c r="ACA8" s="160"/>
      <c r="ACB8" s="160"/>
      <c r="ACC8" s="160"/>
      <c r="ACD8" s="160"/>
      <c r="ACE8" s="160"/>
      <c r="ACF8" s="160"/>
      <c r="ACG8" s="160"/>
      <c r="ACH8" s="160"/>
      <c r="ACI8" s="160"/>
      <c r="ACJ8" s="160"/>
      <c r="ACK8" s="160"/>
      <c r="ACL8" s="160"/>
      <c r="ACM8" s="160"/>
      <c r="ACN8" s="160"/>
      <c r="ACO8" s="160"/>
      <c r="ACP8" s="160"/>
      <c r="ACQ8" s="160"/>
      <c r="ACR8" s="160"/>
      <c r="ACS8" s="160"/>
      <c r="ACT8" s="160"/>
      <c r="ACU8" s="160"/>
      <c r="ACV8" s="160"/>
      <c r="ACW8" s="160"/>
      <c r="ACX8" s="160"/>
      <c r="ACY8" s="160"/>
      <c r="ACZ8" s="160"/>
      <c r="ADA8" s="160"/>
      <c r="ADB8" s="160"/>
      <c r="ADC8" s="160"/>
      <c r="ADD8" s="160"/>
      <c r="ADE8" s="160"/>
      <c r="ADF8" s="160"/>
      <c r="ADG8" s="160"/>
      <c r="ADH8" s="160"/>
      <c r="ADI8" s="160"/>
      <c r="ADJ8" s="160"/>
      <c r="ADK8" s="160"/>
      <c r="ADL8" s="160"/>
      <c r="ADM8" s="160"/>
      <c r="ADN8" s="160"/>
      <c r="ADO8" s="160"/>
      <c r="ADP8" s="160"/>
      <c r="ADQ8" s="160"/>
      <c r="ADR8" s="160"/>
      <c r="ADS8" s="160"/>
      <c r="ADT8" s="160"/>
      <c r="ADU8" s="160"/>
      <c r="ADV8" s="160"/>
      <c r="ADW8" s="160"/>
      <c r="ADX8" s="160"/>
      <c r="ADY8" s="160"/>
      <c r="ADZ8" s="160"/>
      <c r="AEA8" s="160"/>
      <c r="AEB8" s="160"/>
      <c r="AEC8" s="160"/>
      <c r="AED8" s="160"/>
      <c r="AEE8" s="160"/>
      <c r="AEF8" s="160"/>
      <c r="AEG8" s="160"/>
      <c r="AEH8" s="160"/>
      <c r="AEI8" s="160"/>
      <c r="AEJ8" s="160"/>
      <c r="AEK8" s="160"/>
      <c r="AEL8" s="160"/>
      <c r="AEM8" s="160"/>
      <c r="AEN8" s="160"/>
      <c r="AEO8" s="160"/>
      <c r="AEP8" s="160"/>
      <c r="AEQ8" s="160"/>
      <c r="AER8" s="160"/>
      <c r="AES8" s="160"/>
      <c r="AET8" s="160"/>
      <c r="AEU8" s="160"/>
      <c r="AEV8" s="160"/>
      <c r="AEW8" s="160"/>
      <c r="AEX8" s="160"/>
      <c r="AEY8" s="160"/>
      <c r="AEZ8" s="160"/>
      <c r="AFA8" s="160"/>
      <c r="AFB8" s="160"/>
      <c r="AFC8" s="160"/>
      <c r="AFD8" s="160"/>
      <c r="AFE8" s="160"/>
      <c r="AFF8" s="160"/>
      <c r="AFG8" s="160"/>
      <c r="AFH8" s="160"/>
      <c r="AFI8" s="160"/>
      <c r="AFJ8" s="160"/>
      <c r="AFK8" s="160"/>
      <c r="AFL8" s="160"/>
      <c r="AFM8" s="160"/>
      <c r="AFN8" s="160"/>
      <c r="AFO8" s="160"/>
      <c r="AFP8" s="160"/>
      <c r="AFQ8" s="160"/>
      <c r="AFR8" s="160"/>
      <c r="AFS8" s="160"/>
      <c r="AFT8" s="160"/>
      <c r="AFU8" s="160"/>
      <c r="AFV8" s="160"/>
      <c r="AFW8" s="160"/>
      <c r="AFX8" s="160"/>
      <c r="AFY8" s="160"/>
      <c r="AFZ8" s="160"/>
      <c r="AGA8" s="160"/>
      <c r="AGB8" s="160"/>
      <c r="AGC8" s="160"/>
      <c r="AGD8" s="160"/>
      <c r="AGE8" s="160"/>
      <c r="AGF8" s="160"/>
      <c r="AGG8" s="160"/>
      <c r="AGH8" s="160"/>
      <c r="AGI8" s="160"/>
      <c r="AGJ8" s="160"/>
      <c r="AGK8" s="160"/>
      <c r="AGL8" s="160"/>
      <c r="AGM8" s="160"/>
      <c r="AGN8" s="160"/>
      <c r="AGO8" s="160"/>
      <c r="AGP8" s="160"/>
      <c r="AGQ8" s="160"/>
      <c r="AGR8" s="160"/>
      <c r="AGS8" s="160"/>
      <c r="AGT8" s="160"/>
      <c r="AGU8" s="160"/>
      <c r="AGV8" s="160"/>
      <c r="AGW8" s="160"/>
      <c r="AGX8" s="160"/>
      <c r="AGY8" s="160"/>
      <c r="AGZ8" s="160"/>
      <c r="AHA8" s="160"/>
      <c r="AHB8" s="160"/>
      <c r="AHC8" s="160"/>
      <c r="AHD8" s="160"/>
      <c r="AHE8" s="160"/>
      <c r="AHF8" s="160"/>
      <c r="AHG8" s="160"/>
      <c r="AHH8" s="160"/>
      <c r="AHI8" s="160"/>
      <c r="AHJ8" s="160"/>
      <c r="AHK8" s="160"/>
      <c r="AHL8" s="160"/>
      <c r="AHM8" s="160"/>
      <c r="AHN8" s="160"/>
      <c r="AHO8" s="160"/>
      <c r="AHP8" s="160"/>
      <c r="AHQ8" s="160"/>
      <c r="AHR8" s="160"/>
      <c r="AHS8" s="160"/>
      <c r="AHT8" s="160"/>
      <c r="AHU8" s="160"/>
      <c r="AHV8" s="160"/>
      <c r="AHW8" s="160"/>
      <c r="AHX8" s="160"/>
      <c r="AHY8" s="160"/>
      <c r="AHZ8" s="160"/>
      <c r="AIA8" s="160"/>
      <c r="AIB8" s="160"/>
      <c r="AIC8" s="160"/>
      <c r="AID8" s="160"/>
      <c r="AIE8" s="160"/>
      <c r="AIF8" s="160"/>
      <c r="AIG8" s="160"/>
      <c r="AIH8" s="160"/>
      <c r="AII8" s="160"/>
      <c r="AIJ8" s="160"/>
      <c r="AIK8" s="160"/>
      <c r="AIL8" s="160"/>
      <c r="AIM8" s="160"/>
      <c r="AIN8" s="160"/>
      <c r="AIO8" s="160"/>
      <c r="AIP8" s="160"/>
      <c r="AIQ8" s="160"/>
      <c r="AIR8" s="160"/>
      <c r="AIS8" s="160"/>
      <c r="AIT8" s="160"/>
      <c r="AIU8" s="160"/>
      <c r="AIV8" s="160"/>
      <c r="AIW8" s="160"/>
      <c r="AIX8" s="160"/>
      <c r="AIY8" s="160"/>
      <c r="AIZ8" s="160"/>
      <c r="AJA8" s="160"/>
      <c r="AJB8" s="160"/>
      <c r="AJC8" s="160"/>
      <c r="AJD8" s="160"/>
      <c r="AJE8" s="160"/>
      <c r="AJF8" s="160"/>
      <c r="AJG8" s="160"/>
      <c r="AJH8" s="160"/>
      <c r="AJI8" s="160"/>
      <c r="AJJ8" s="160"/>
      <c r="AJK8" s="160"/>
      <c r="AJL8" s="160"/>
      <c r="AJM8" s="160"/>
      <c r="AJN8" s="160"/>
      <c r="AJO8" s="160"/>
      <c r="AJP8" s="160"/>
      <c r="AJQ8" s="160"/>
      <c r="AJR8" s="160"/>
      <c r="AJS8" s="160"/>
      <c r="AJT8" s="160"/>
      <c r="AJU8" s="160"/>
      <c r="AJV8" s="160"/>
      <c r="AJW8" s="160"/>
      <c r="AJX8" s="160"/>
      <c r="AJY8" s="160"/>
      <c r="AJZ8" s="160"/>
      <c r="AKA8" s="160"/>
      <c r="AKB8" s="160"/>
      <c r="AKC8" s="160"/>
      <c r="AKD8" s="160"/>
      <c r="AKE8" s="160"/>
      <c r="AKF8" s="160"/>
      <c r="AKG8" s="160"/>
      <c r="AKH8" s="160"/>
      <c r="AKI8" s="160"/>
      <c r="AKJ8" s="160"/>
      <c r="AKK8" s="160"/>
      <c r="AKL8" s="160"/>
      <c r="AKM8" s="160"/>
      <c r="AKN8" s="160"/>
      <c r="AKO8" s="160"/>
      <c r="AKP8" s="160"/>
      <c r="AKQ8" s="160"/>
      <c r="AKR8" s="160"/>
      <c r="AKS8" s="160"/>
      <c r="AKT8" s="160"/>
      <c r="AKU8" s="160"/>
      <c r="AKV8" s="160"/>
      <c r="AKW8" s="160"/>
      <c r="AKX8" s="160"/>
      <c r="AKY8" s="160"/>
      <c r="AKZ8" s="160"/>
      <c r="ALA8" s="160"/>
      <c r="ALB8" s="160"/>
      <c r="ALC8" s="160"/>
      <c r="ALD8" s="160"/>
      <c r="ALE8" s="160"/>
      <c r="ALF8" s="160"/>
      <c r="ALG8" s="160"/>
      <c r="ALH8" s="160"/>
      <c r="ALI8" s="160"/>
      <c r="ALJ8" s="160"/>
      <c r="ALK8" s="160"/>
      <c r="ALL8" s="160"/>
      <c r="ALM8" s="160"/>
      <c r="ALN8" s="160"/>
      <c r="ALO8" s="160"/>
      <c r="ALP8" s="160"/>
      <c r="ALQ8" s="160"/>
      <c r="ALR8" s="160"/>
      <c r="ALS8" s="160"/>
      <c r="ALT8" s="160"/>
      <c r="ALU8" s="160"/>
      <c r="ALV8" s="160"/>
      <c r="ALW8" s="160"/>
      <c r="ALX8" s="160"/>
      <c r="ALY8" s="160"/>
      <c r="ALZ8" s="160"/>
      <c r="AMA8" s="160"/>
      <c r="AMB8" s="160"/>
      <c r="AMC8" s="160"/>
      <c r="AMD8" s="160"/>
      <c r="AME8" s="160"/>
      <c r="AMF8" s="160"/>
      <c r="AMG8" s="160"/>
      <c r="AMH8" s="160"/>
      <c r="AMI8" s="160"/>
      <c r="AMJ8" s="160"/>
      <c r="AMK8" s="160"/>
      <c r="AML8" s="160"/>
      <c r="AMM8" s="160"/>
      <c r="AMN8" s="160"/>
      <c r="AMO8" s="160"/>
      <c r="AMP8" s="160"/>
      <c r="AMQ8" s="160"/>
      <c r="AMR8" s="160"/>
      <c r="AMS8" s="160"/>
      <c r="AMT8" s="160"/>
      <c r="AMU8" s="160"/>
      <c r="AMV8" s="160"/>
      <c r="AMW8" s="160"/>
      <c r="AMX8" s="160"/>
      <c r="AMY8" s="160"/>
      <c r="AMZ8" s="160"/>
      <c r="ANA8" s="160"/>
      <c r="ANB8" s="160"/>
      <c r="ANC8" s="160"/>
      <c r="AND8" s="160"/>
      <c r="ANE8" s="160"/>
      <c r="ANF8" s="160"/>
      <c r="ANG8" s="160"/>
      <c r="ANH8" s="160"/>
      <c r="ANI8" s="160"/>
      <c r="ANJ8" s="160"/>
      <c r="ANK8" s="160"/>
      <c r="ANL8" s="160"/>
      <c r="ANM8" s="160"/>
      <c r="ANN8" s="160"/>
      <c r="ANO8" s="160"/>
      <c r="ANP8" s="160"/>
      <c r="ANQ8" s="160"/>
      <c r="ANR8" s="160"/>
      <c r="ANS8" s="160"/>
      <c r="ANT8" s="160"/>
      <c r="ANU8" s="160"/>
      <c r="ANV8" s="160"/>
      <c r="ANW8" s="160"/>
      <c r="ANX8" s="160"/>
      <c r="ANY8" s="160"/>
      <c r="ANZ8" s="160"/>
      <c r="AOA8" s="160"/>
      <c r="AOB8" s="160"/>
      <c r="AOC8" s="160"/>
      <c r="AOD8" s="160"/>
      <c r="AOE8" s="160"/>
      <c r="AOF8" s="160"/>
      <c r="AOG8" s="160"/>
      <c r="AOH8" s="160"/>
      <c r="AOI8" s="160"/>
      <c r="AOJ8" s="160"/>
      <c r="AOK8" s="160"/>
      <c r="AOL8" s="160"/>
      <c r="AOM8" s="160"/>
      <c r="AON8" s="160"/>
      <c r="AOO8" s="160"/>
      <c r="AOP8" s="160"/>
      <c r="AOQ8" s="160"/>
      <c r="AOR8" s="160"/>
      <c r="AOS8" s="160"/>
      <c r="AOT8" s="160"/>
      <c r="AOU8" s="160"/>
      <c r="AOV8" s="160"/>
      <c r="AOW8" s="160"/>
      <c r="AOX8" s="160"/>
      <c r="AOY8" s="160"/>
      <c r="AOZ8" s="160"/>
      <c r="APA8" s="160"/>
      <c r="APB8" s="160"/>
      <c r="APC8" s="160"/>
      <c r="APD8" s="160"/>
      <c r="APE8" s="160"/>
      <c r="APF8" s="160"/>
      <c r="APG8" s="160"/>
      <c r="APH8" s="160"/>
      <c r="API8" s="160"/>
      <c r="APJ8" s="160"/>
      <c r="APK8" s="160"/>
      <c r="APL8" s="160"/>
      <c r="APM8" s="160"/>
      <c r="APN8" s="160"/>
      <c r="APO8" s="160"/>
      <c r="APP8" s="160"/>
      <c r="APQ8" s="160"/>
      <c r="APR8" s="160"/>
      <c r="APS8" s="160"/>
      <c r="APT8" s="160"/>
      <c r="APU8" s="160"/>
      <c r="APV8" s="160"/>
      <c r="APW8" s="160"/>
      <c r="APX8" s="160"/>
      <c r="APY8" s="160"/>
      <c r="APZ8" s="160"/>
      <c r="AQA8" s="160"/>
      <c r="AQB8" s="160"/>
      <c r="AQC8" s="160"/>
      <c r="AQD8" s="160"/>
      <c r="AQE8" s="160"/>
      <c r="AQF8" s="160"/>
      <c r="AQG8" s="160"/>
      <c r="AQH8" s="160"/>
      <c r="AQI8" s="160"/>
      <c r="AQJ8" s="160"/>
      <c r="AQK8" s="160"/>
      <c r="AQL8" s="160"/>
      <c r="AQM8" s="160"/>
      <c r="AQN8" s="160"/>
      <c r="AQO8" s="160"/>
      <c r="AQP8" s="160"/>
      <c r="AQQ8" s="160"/>
      <c r="AQR8" s="160"/>
      <c r="AQS8" s="160"/>
      <c r="AQT8" s="160"/>
      <c r="AQU8" s="160"/>
      <c r="AQV8" s="160"/>
      <c r="AQW8" s="160"/>
      <c r="AQX8" s="160"/>
      <c r="AQY8" s="160"/>
      <c r="AQZ8" s="160"/>
      <c r="ARA8" s="160"/>
      <c r="ARB8" s="160"/>
      <c r="ARC8" s="160"/>
      <c r="ARD8" s="160"/>
      <c r="ARE8" s="160"/>
      <c r="ARF8" s="160"/>
      <c r="ARG8" s="160"/>
      <c r="ARH8" s="160"/>
      <c r="ARI8" s="160"/>
      <c r="ARJ8" s="160"/>
      <c r="ARK8" s="160"/>
      <c r="ARL8" s="160"/>
      <c r="ARM8" s="160"/>
      <c r="ARN8" s="160"/>
      <c r="ARO8" s="160"/>
      <c r="ARP8" s="160"/>
      <c r="ARQ8" s="160"/>
      <c r="ARR8" s="160"/>
      <c r="ARS8" s="160"/>
      <c r="ART8" s="160"/>
      <c r="ARU8" s="160"/>
      <c r="ARV8" s="160"/>
      <c r="ARW8" s="160"/>
      <c r="ARX8" s="160"/>
      <c r="ARY8" s="160"/>
      <c r="ARZ8" s="160"/>
      <c r="ASA8" s="160"/>
      <c r="ASB8" s="160"/>
      <c r="ASC8" s="160"/>
      <c r="ASD8" s="160"/>
      <c r="ASE8" s="160"/>
      <c r="ASF8" s="160"/>
      <c r="ASG8" s="160"/>
      <c r="ASH8" s="160"/>
      <c r="ASI8" s="160"/>
      <c r="ASJ8" s="160"/>
      <c r="ASK8" s="160"/>
      <c r="ASL8" s="160"/>
      <c r="ASM8" s="160"/>
      <c r="ASN8" s="160"/>
      <c r="ASO8" s="160"/>
      <c r="ASP8" s="160"/>
      <c r="ASQ8" s="160"/>
      <c r="ASR8" s="160"/>
      <c r="ASS8" s="160"/>
      <c r="AST8" s="160"/>
      <c r="ASU8" s="160"/>
      <c r="ASV8" s="160"/>
      <c r="ASW8" s="160"/>
      <c r="ASX8" s="160"/>
      <c r="ASY8" s="160"/>
      <c r="ASZ8" s="160"/>
      <c r="ATA8" s="160"/>
      <c r="ATB8" s="160"/>
      <c r="ATC8" s="160"/>
      <c r="ATD8" s="160"/>
      <c r="ATE8" s="160"/>
      <c r="ATF8" s="160"/>
      <c r="ATG8" s="160"/>
      <c r="ATH8" s="160"/>
      <c r="ATI8" s="160"/>
      <c r="ATJ8" s="160"/>
      <c r="ATK8" s="160"/>
      <c r="ATL8" s="160"/>
      <c r="ATM8" s="160"/>
      <c r="ATN8" s="160"/>
      <c r="ATO8" s="160"/>
      <c r="ATP8" s="160"/>
      <c r="ATQ8" s="160"/>
      <c r="ATR8" s="160"/>
      <c r="ATS8" s="160"/>
      <c r="ATT8" s="160"/>
      <c r="ATU8" s="160"/>
      <c r="ATV8" s="160"/>
      <c r="ATW8" s="160"/>
      <c r="ATX8" s="160"/>
      <c r="ATY8" s="160"/>
      <c r="ATZ8" s="160"/>
      <c r="AUA8" s="160"/>
      <c r="AUB8" s="160"/>
      <c r="AUC8" s="160"/>
      <c r="AUD8" s="160"/>
      <c r="AUE8" s="160"/>
      <c r="AUF8" s="160"/>
      <c r="AUG8" s="160"/>
      <c r="AUH8" s="160"/>
      <c r="AUI8" s="160"/>
      <c r="AUJ8" s="160"/>
      <c r="AUK8" s="160"/>
      <c r="AUL8" s="160"/>
      <c r="AUM8" s="160"/>
      <c r="AUN8" s="160"/>
      <c r="AUO8" s="160"/>
      <c r="AUP8" s="160"/>
      <c r="AUQ8" s="160"/>
      <c r="AUR8" s="160"/>
      <c r="AUS8" s="160"/>
      <c r="AUT8" s="160"/>
      <c r="AUU8" s="160"/>
      <c r="AUV8" s="160"/>
      <c r="AUW8" s="160"/>
      <c r="AUX8" s="160"/>
      <c r="AUY8" s="160"/>
      <c r="AUZ8" s="160"/>
      <c r="AVA8" s="160"/>
      <c r="AVB8" s="160"/>
      <c r="AVC8" s="160"/>
      <c r="AVD8" s="160"/>
      <c r="AVE8" s="160"/>
      <c r="AVF8" s="160"/>
      <c r="AVG8" s="160"/>
      <c r="AVH8" s="160"/>
      <c r="AVI8" s="160"/>
      <c r="AVJ8" s="160"/>
      <c r="AVK8" s="160"/>
      <c r="AVL8" s="160"/>
      <c r="AVM8" s="160"/>
      <c r="AVN8" s="160"/>
      <c r="AVO8" s="160"/>
      <c r="AVP8" s="160"/>
      <c r="AVQ8" s="160"/>
      <c r="AVR8" s="160"/>
      <c r="AVS8" s="160"/>
      <c r="AVT8" s="160"/>
      <c r="AVU8" s="160"/>
      <c r="AVV8" s="160"/>
      <c r="AVW8" s="160"/>
      <c r="AVX8" s="160"/>
      <c r="AVY8" s="160"/>
      <c r="AVZ8" s="160"/>
      <c r="AWA8" s="160"/>
      <c r="AWB8" s="160"/>
      <c r="AWC8" s="160"/>
      <c r="AWD8" s="160"/>
      <c r="AWE8" s="160"/>
      <c r="AWF8" s="160"/>
      <c r="AWG8" s="160"/>
      <c r="AWH8" s="160"/>
      <c r="AWI8" s="160"/>
      <c r="AWJ8" s="160"/>
      <c r="AWK8" s="160"/>
      <c r="AWL8" s="160"/>
      <c r="AWM8" s="160"/>
      <c r="AWN8" s="160"/>
      <c r="AWO8" s="160"/>
      <c r="AWP8" s="160"/>
      <c r="AWQ8" s="160"/>
      <c r="AWR8" s="160"/>
      <c r="AWS8" s="160"/>
      <c r="AWT8" s="160"/>
      <c r="AWU8" s="160"/>
      <c r="AWV8" s="160"/>
      <c r="AWW8" s="160"/>
      <c r="AWX8" s="160"/>
      <c r="AWY8" s="160"/>
      <c r="AWZ8" s="160"/>
      <c r="AXA8" s="160"/>
      <c r="AXB8" s="160"/>
      <c r="AXC8" s="160"/>
      <c r="AXD8" s="160"/>
      <c r="AXE8" s="160"/>
      <c r="AXF8" s="160"/>
      <c r="AXG8" s="160"/>
      <c r="AXH8" s="160"/>
      <c r="AXI8" s="160"/>
      <c r="AXJ8" s="160"/>
      <c r="AXK8" s="160"/>
      <c r="AXL8" s="160"/>
      <c r="AXM8" s="160"/>
      <c r="AXN8" s="160"/>
      <c r="AXO8" s="160"/>
      <c r="AXP8" s="160"/>
      <c r="AXQ8" s="160"/>
      <c r="AXR8" s="160"/>
      <c r="AXS8" s="160"/>
      <c r="AXT8" s="160"/>
      <c r="AXU8" s="160"/>
      <c r="AXV8" s="160"/>
      <c r="AXW8" s="160"/>
      <c r="AXX8" s="160"/>
      <c r="AXY8" s="160"/>
      <c r="AXZ8" s="160"/>
      <c r="AYA8" s="160"/>
      <c r="AYB8" s="160"/>
      <c r="AYC8" s="160"/>
      <c r="AYD8" s="160"/>
      <c r="AYE8" s="160"/>
      <c r="AYF8" s="160"/>
      <c r="AYG8" s="160"/>
      <c r="AYH8" s="160"/>
      <c r="AYI8" s="160"/>
      <c r="AYJ8" s="160"/>
      <c r="AYK8" s="160"/>
      <c r="AYL8" s="160"/>
      <c r="AYM8" s="160"/>
      <c r="AYN8" s="160"/>
      <c r="AYO8" s="160"/>
      <c r="AYP8" s="160"/>
      <c r="AYQ8" s="160"/>
      <c r="AYR8" s="160"/>
      <c r="AYS8" s="160"/>
      <c r="AYT8" s="160"/>
      <c r="AYU8" s="160"/>
      <c r="AYV8" s="160"/>
      <c r="AYW8" s="160"/>
      <c r="AYX8" s="160"/>
      <c r="AYY8" s="160"/>
      <c r="AYZ8" s="160"/>
      <c r="AZA8" s="160"/>
      <c r="AZB8" s="160"/>
      <c r="AZC8" s="160"/>
      <c r="AZD8" s="160"/>
      <c r="AZE8" s="160"/>
      <c r="AZF8" s="160"/>
      <c r="AZG8" s="160"/>
      <c r="AZH8" s="160"/>
      <c r="AZI8" s="160"/>
      <c r="AZJ8" s="160"/>
      <c r="AZK8" s="160"/>
      <c r="AZL8" s="160"/>
      <c r="AZM8" s="160"/>
      <c r="AZN8" s="160"/>
      <c r="AZO8" s="160"/>
      <c r="AZP8" s="160"/>
      <c r="AZQ8" s="160"/>
      <c r="AZR8" s="160"/>
      <c r="AZS8" s="160"/>
      <c r="AZT8" s="160"/>
      <c r="AZU8" s="160"/>
      <c r="AZV8" s="160"/>
      <c r="AZW8" s="160"/>
      <c r="AZX8" s="160"/>
      <c r="AZY8" s="160"/>
      <c r="AZZ8" s="160"/>
      <c r="BAA8" s="160"/>
      <c r="BAB8" s="160"/>
      <c r="BAC8" s="160"/>
      <c r="BAD8" s="160"/>
      <c r="BAE8" s="160"/>
      <c r="BAF8" s="160"/>
      <c r="BAG8" s="160"/>
      <c r="BAH8" s="160"/>
      <c r="BAI8" s="160"/>
      <c r="BAJ8" s="160"/>
      <c r="BAK8" s="160"/>
      <c r="BAL8" s="160"/>
      <c r="BAM8" s="160"/>
      <c r="BAN8" s="160"/>
      <c r="BAO8" s="160"/>
      <c r="BAP8" s="160"/>
      <c r="BAQ8" s="160"/>
      <c r="BAR8" s="160"/>
      <c r="BAS8" s="160"/>
      <c r="BAT8" s="160"/>
      <c r="BAU8" s="160"/>
      <c r="BAV8" s="160"/>
      <c r="BAW8" s="160"/>
      <c r="BAX8" s="160"/>
      <c r="BAY8" s="160"/>
      <c r="BAZ8" s="160"/>
      <c r="BBA8" s="160"/>
      <c r="BBB8" s="160"/>
      <c r="BBC8" s="160"/>
      <c r="BBD8" s="160"/>
      <c r="BBE8" s="160"/>
      <c r="BBF8" s="160"/>
      <c r="BBG8" s="160"/>
      <c r="BBH8" s="160"/>
      <c r="BBI8" s="160"/>
      <c r="BBJ8" s="160"/>
      <c r="BBK8" s="160"/>
      <c r="BBL8" s="160"/>
      <c r="BBM8" s="160"/>
      <c r="BBN8" s="160"/>
      <c r="BBO8" s="160"/>
      <c r="BBP8" s="160"/>
      <c r="BBQ8" s="160"/>
      <c r="BBR8" s="160"/>
      <c r="BBS8" s="160"/>
      <c r="BBT8" s="160"/>
      <c r="BBU8" s="160"/>
      <c r="BBV8" s="160"/>
      <c r="BBW8" s="160"/>
      <c r="BBX8" s="160"/>
      <c r="BBY8" s="160"/>
      <c r="BBZ8" s="160"/>
      <c r="BCA8" s="160"/>
      <c r="BCB8" s="160"/>
      <c r="BCC8" s="160"/>
      <c r="BCD8" s="160"/>
      <c r="BCE8" s="160"/>
      <c r="BCF8" s="160"/>
      <c r="BCG8" s="160"/>
      <c r="BCH8" s="160"/>
      <c r="BCI8" s="160"/>
      <c r="BCJ8" s="160"/>
      <c r="BCK8" s="160"/>
      <c r="BCL8" s="160"/>
      <c r="BCM8" s="160"/>
      <c r="BCN8" s="160"/>
      <c r="BCO8" s="160"/>
      <c r="BCP8" s="160"/>
      <c r="BCQ8" s="160"/>
      <c r="BCR8" s="160"/>
      <c r="BCS8" s="160"/>
      <c r="BCT8" s="160"/>
      <c r="BCU8" s="160"/>
      <c r="BCV8" s="160"/>
      <c r="BCW8" s="160"/>
      <c r="BCX8" s="160"/>
      <c r="BCY8" s="160"/>
      <c r="BCZ8" s="160"/>
      <c r="BDA8" s="160"/>
      <c r="BDB8" s="160"/>
      <c r="BDC8" s="160"/>
      <c r="BDD8" s="160"/>
      <c r="BDE8" s="160"/>
      <c r="BDF8" s="160"/>
      <c r="BDG8" s="160"/>
      <c r="BDH8" s="160"/>
      <c r="BDI8" s="160"/>
      <c r="BDJ8" s="160"/>
      <c r="BDK8" s="160"/>
      <c r="BDL8" s="160"/>
      <c r="BDM8" s="160"/>
      <c r="BDN8" s="160"/>
      <c r="BDO8" s="160"/>
      <c r="BDP8" s="160"/>
      <c r="BDQ8" s="160"/>
      <c r="BDR8" s="160"/>
      <c r="BDS8" s="160"/>
      <c r="BDT8" s="160"/>
      <c r="BDU8" s="160"/>
      <c r="BDV8" s="160"/>
      <c r="BDW8" s="160"/>
      <c r="BDX8" s="160"/>
      <c r="BDY8" s="160"/>
      <c r="BDZ8" s="160"/>
      <c r="BEA8" s="160"/>
      <c r="BEB8" s="160"/>
      <c r="BEC8" s="160"/>
      <c r="BED8" s="160"/>
      <c r="BEE8" s="160"/>
      <c r="BEF8" s="160"/>
      <c r="BEG8" s="160"/>
      <c r="BEH8" s="160"/>
      <c r="BEI8" s="160"/>
      <c r="BEJ8" s="160"/>
      <c r="BEK8" s="160"/>
      <c r="BEL8" s="160"/>
      <c r="BEM8" s="160"/>
      <c r="BEN8" s="160"/>
      <c r="BEO8" s="160"/>
      <c r="BEP8" s="160"/>
      <c r="BEQ8" s="160"/>
      <c r="BER8" s="160"/>
      <c r="BES8" s="160"/>
      <c r="BET8" s="160"/>
      <c r="BEU8" s="160"/>
      <c r="BEV8" s="160"/>
      <c r="BEW8" s="160"/>
      <c r="BEX8" s="160"/>
      <c r="BEY8" s="160"/>
      <c r="BEZ8" s="160"/>
      <c r="BFA8" s="160"/>
      <c r="BFB8" s="160"/>
      <c r="BFC8" s="160"/>
      <c r="BFD8" s="160"/>
      <c r="BFE8" s="160"/>
      <c r="BFF8" s="160"/>
      <c r="BFG8" s="160"/>
      <c r="BFH8" s="160"/>
      <c r="BFI8" s="160"/>
      <c r="BFJ8" s="160"/>
      <c r="BFK8" s="160"/>
      <c r="BFL8" s="160"/>
      <c r="BFM8" s="160"/>
      <c r="BFN8" s="160"/>
      <c r="BFO8" s="160"/>
      <c r="BFP8" s="160"/>
      <c r="BFQ8" s="160"/>
      <c r="BFR8" s="160"/>
      <c r="BFS8" s="160"/>
      <c r="BFT8" s="160"/>
      <c r="BFU8" s="160"/>
      <c r="BFV8" s="160"/>
      <c r="BFW8" s="160"/>
      <c r="BFX8" s="160"/>
      <c r="BFY8" s="160"/>
      <c r="BFZ8" s="160"/>
      <c r="BGA8" s="160"/>
      <c r="BGB8" s="160"/>
      <c r="BGC8" s="160"/>
      <c r="BGD8" s="160"/>
      <c r="BGE8" s="160"/>
      <c r="BGF8" s="160"/>
      <c r="BGG8" s="160"/>
      <c r="BGH8" s="160"/>
      <c r="BGI8" s="160"/>
      <c r="BGJ8" s="160"/>
      <c r="BGK8" s="160"/>
      <c r="BGL8" s="160"/>
      <c r="BGM8" s="160"/>
      <c r="BGN8" s="160"/>
      <c r="BGO8" s="160"/>
      <c r="BGP8" s="160"/>
      <c r="BGQ8" s="160"/>
      <c r="BGR8" s="160"/>
      <c r="BGS8" s="160"/>
      <c r="BGT8" s="160"/>
      <c r="BGU8" s="160"/>
      <c r="BGV8" s="160"/>
      <c r="BGW8" s="160"/>
      <c r="BGX8" s="160"/>
      <c r="BGY8" s="160"/>
      <c r="BGZ8" s="160"/>
      <c r="BHA8" s="160"/>
      <c r="BHB8" s="160"/>
      <c r="BHC8" s="160"/>
      <c r="BHD8" s="160"/>
      <c r="BHE8" s="160"/>
      <c r="BHF8" s="160"/>
      <c r="BHG8" s="160"/>
      <c r="BHH8" s="160"/>
      <c r="BHI8" s="160"/>
      <c r="BHJ8" s="160"/>
      <c r="BHK8" s="160"/>
      <c r="BHL8" s="160"/>
      <c r="BHM8" s="160"/>
      <c r="BHN8" s="160"/>
      <c r="BHO8" s="160"/>
      <c r="BHP8" s="160"/>
      <c r="BHQ8" s="160"/>
      <c r="BHR8" s="160"/>
      <c r="BHS8" s="160"/>
      <c r="BHT8" s="160"/>
      <c r="BHU8" s="160"/>
      <c r="BHV8" s="160"/>
      <c r="BHW8" s="160"/>
      <c r="BHX8" s="160"/>
      <c r="BHY8" s="160"/>
      <c r="BHZ8" s="160"/>
      <c r="BIA8" s="160"/>
      <c r="BIB8" s="160"/>
      <c r="BIC8" s="160"/>
      <c r="BID8" s="160"/>
      <c r="BIE8" s="160"/>
      <c r="BIF8" s="160"/>
      <c r="BIG8" s="160"/>
      <c r="BIH8" s="160"/>
      <c r="BII8" s="160"/>
      <c r="BIJ8" s="160"/>
      <c r="BIK8" s="160"/>
      <c r="BIL8" s="160"/>
      <c r="BIM8" s="160"/>
      <c r="BIN8" s="160"/>
      <c r="BIO8" s="160"/>
      <c r="BIP8" s="160"/>
      <c r="BIQ8" s="160"/>
      <c r="BIR8" s="160"/>
      <c r="BIS8" s="160"/>
      <c r="BIT8" s="160"/>
      <c r="BIU8" s="160"/>
      <c r="BIV8" s="160"/>
      <c r="BIW8" s="160"/>
      <c r="BIX8" s="160"/>
      <c r="BIY8" s="160"/>
      <c r="BIZ8" s="160"/>
      <c r="BJA8" s="160"/>
      <c r="BJB8" s="160"/>
      <c r="BJC8" s="160"/>
      <c r="BJD8" s="160"/>
      <c r="BJE8" s="160"/>
      <c r="BJF8" s="160"/>
      <c r="BJG8" s="160"/>
      <c r="BJH8" s="160"/>
      <c r="BJI8" s="160"/>
      <c r="BJJ8" s="160"/>
      <c r="BJK8" s="160"/>
      <c r="BJL8" s="160"/>
      <c r="BJM8" s="160"/>
      <c r="BJN8" s="160"/>
      <c r="BJO8" s="160"/>
      <c r="BJP8" s="160"/>
      <c r="BJQ8" s="160"/>
      <c r="BJR8" s="160"/>
      <c r="BJS8" s="160"/>
      <c r="BJT8" s="160"/>
      <c r="BJU8" s="160"/>
      <c r="BJV8" s="160"/>
      <c r="BJW8" s="160"/>
      <c r="BJX8" s="160"/>
      <c r="BJY8" s="160"/>
      <c r="BJZ8" s="160"/>
      <c r="BKA8" s="160"/>
      <c r="BKB8" s="160"/>
      <c r="BKC8" s="160"/>
      <c r="BKD8" s="160"/>
      <c r="BKE8" s="160"/>
      <c r="BKF8" s="160"/>
      <c r="BKG8" s="160"/>
      <c r="BKH8" s="160"/>
      <c r="BKI8" s="160"/>
      <c r="BKJ8" s="160"/>
      <c r="BKK8" s="160"/>
      <c r="BKL8" s="160"/>
      <c r="BKM8" s="160"/>
      <c r="BKN8" s="160"/>
      <c r="BKO8" s="160"/>
      <c r="BKP8" s="160"/>
      <c r="BKQ8" s="160"/>
      <c r="BKR8" s="160"/>
      <c r="BKS8" s="160"/>
      <c r="BKT8" s="160"/>
      <c r="BKU8" s="160"/>
      <c r="BKV8" s="160"/>
      <c r="BKW8" s="160"/>
      <c r="BKX8" s="160"/>
      <c r="BKY8" s="160"/>
      <c r="BKZ8" s="160"/>
      <c r="BLA8" s="160"/>
      <c r="BLB8" s="160"/>
      <c r="BLC8" s="160"/>
      <c r="BLD8" s="160"/>
      <c r="BLE8" s="160"/>
      <c r="BLF8" s="160"/>
      <c r="BLG8" s="160"/>
      <c r="BLH8" s="160"/>
      <c r="BLI8" s="160"/>
      <c r="BLJ8" s="160"/>
      <c r="BLK8" s="160"/>
      <c r="BLL8" s="160"/>
      <c r="BLM8" s="160"/>
      <c r="BLN8" s="160"/>
      <c r="BLO8" s="160"/>
      <c r="BLP8" s="160"/>
      <c r="BLQ8" s="160"/>
      <c r="BLR8" s="160"/>
      <c r="BLS8" s="160"/>
      <c r="BLT8" s="160"/>
      <c r="BLU8" s="160"/>
      <c r="BLV8" s="160"/>
      <c r="BLW8" s="160"/>
      <c r="BLX8" s="160"/>
      <c r="BLY8" s="160"/>
      <c r="BLZ8" s="160"/>
      <c r="BMA8" s="160"/>
      <c r="BMB8" s="160"/>
      <c r="BMC8" s="160"/>
      <c r="BMD8" s="160"/>
      <c r="BME8" s="160"/>
      <c r="BMF8" s="160"/>
      <c r="BMG8" s="160"/>
      <c r="BMH8" s="160"/>
      <c r="BMI8" s="160"/>
      <c r="BMJ8" s="160"/>
      <c r="BMK8" s="160"/>
      <c r="BML8" s="160"/>
      <c r="BMM8" s="160"/>
      <c r="BMN8" s="160"/>
      <c r="BMO8" s="160"/>
      <c r="BMP8" s="160"/>
      <c r="BMQ8" s="160"/>
      <c r="BMR8" s="160"/>
      <c r="BMS8" s="160"/>
      <c r="BMT8" s="160"/>
      <c r="BMU8" s="160"/>
      <c r="BMV8" s="160"/>
      <c r="BMW8" s="160"/>
      <c r="BMX8" s="160"/>
      <c r="BMY8" s="160"/>
      <c r="BMZ8" s="160"/>
      <c r="BNA8" s="160"/>
      <c r="BNB8" s="160"/>
      <c r="BNC8" s="160"/>
      <c r="BND8" s="160"/>
      <c r="BNE8" s="160"/>
      <c r="BNF8" s="160"/>
      <c r="BNG8" s="160"/>
      <c r="BNH8" s="160"/>
      <c r="BNI8" s="160"/>
      <c r="BNJ8" s="160"/>
      <c r="BNK8" s="160"/>
      <c r="BNL8" s="160"/>
      <c r="BNM8" s="160"/>
      <c r="BNN8" s="160"/>
      <c r="BNO8" s="160"/>
      <c r="BNP8" s="160"/>
      <c r="BNQ8" s="160"/>
      <c r="BNR8" s="160"/>
      <c r="BNS8" s="160"/>
      <c r="BNT8" s="160"/>
      <c r="BNU8" s="160"/>
      <c r="BNV8" s="160"/>
      <c r="BNW8" s="160"/>
      <c r="BNX8" s="160"/>
      <c r="BNY8" s="160"/>
      <c r="BNZ8" s="160"/>
      <c r="BOA8" s="160"/>
      <c r="BOB8" s="160"/>
      <c r="BOC8" s="160"/>
      <c r="BOD8" s="160"/>
      <c r="BOE8" s="160"/>
      <c r="BOF8" s="160"/>
      <c r="BOG8" s="160"/>
      <c r="BOH8" s="160"/>
      <c r="BOI8" s="160"/>
      <c r="BOJ8" s="160"/>
      <c r="BOK8" s="160"/>
      <c r="BOL8" s="160"/>
      <c r="BOM8" s="160"/>
      <c r="BON8" s="160"/>
      <c r="BOO8" s="160"/>
      <c r="BOP8" s="160"/>
      <c r="BOQ8" s="160"/>
      <c r="BOR8" s="160"/>
      <c r="BOS8" s="160"/>
      <c r="BOT8" s="160"/>
      <c r="BOU8" s="160"/>
      <c r="BOV8" s="160"/>
      <c r="BOW8" s="160"/>
      <c r="BOX8" s="160"/>
      <c r="BOY8" s="160"/>
      <c r="BOZ8" s="160"/>
      <c r="BPA8" s="160"/>
      <c r="BPB8" s="160"/>
      <c r="BPC8" s="160"/>
      <c r="BPD8" s="160"/>
      <c r="BPE8" s="160"/>
      <c r="BPF8" s="160"/>
      <c r="BPG8" s="160"/>
      <c r="BPH8" s="160"/>
      <c r="BPI8" s="160"/>
      <c r="BPJ8" s="160"/>
      <c r="BPK8" s="160"/>
      <c r="BPL8" s="160"/>
      <c r="BPM8" s="160"/>
      <c r="BPN8" s="160"/>
      <c r="BPO8" s="160"/>
      <c r="BPP8" s="160"/>
      <c r="BPQ8" s="160"/>
      <c r="BPR8" s="160"/>
      <c r="BPS8" s="160"/>
      <c r="BPT8" s="160"/>
      <c r="BPU8" s="160"/>
      <c r="BPV8" s="160"/>
      <c r="BPW8" s="160"/>
      <c r="BPX8" s="160"/>
      <c r="BPY8" s="160"/>
      <c r="BPZ8" s="160"/>
      <c r="BQA8" s="160"/>
      <c r="BQB8" s="160"/>
      <c r="BQC8" s="160"/>
      <c r="BQD8" s="160"/>
      <c r="BQE8" s="160"/>
      <c r="BQF8" s="160"/>
      <c r="BQG8" s="160"/>
      <c r="BQH8" s="160"/>
      <c r="BQI8" s="160"/>
      <c r="BQJ8" s="160"/>
      <c r="BQK8" s="160"/>
      <c r="BQL8" s="160"/>
      <c r="BQM8" s="160"/>
      <c r="BQN8" s="160"/>
      <c r="BQO8" s="160"/>
      <c r="BQP8" s="160"/>
      <c r="BQQ8" s="160"/>
      <c r="BQR8" s="160"/>
      <c r="BQS8" s="160"/>
      <c r="BQT8" s="160"/>
      <c r="BQU8" s="160"/>
      <c r="BQV8" s="160"/>
      <c r="BQW8" s="160"/>
      <c r="BQX8" s="160"/>
      <c r="BQY8" s="160"/>
      <c r="BQZ8" s="160"/>
      <c r="BRA8" s="160"/>
      <c r="BRB8" s="160"/>
      <c r="BRC8" s="160"/>
      <c r="BRD8" s="160"/>
      <c r="BRE8" s="160"/>
      <c r="BRF8" s="160"/>
      <c r="BRG8" s="160"/>
      <c r="BRH8" s="160"/>
      <c r="BRI8" s="160"/>
      <c r="BRJ8" s="160"/>
      <c r="BRK8" s="160"/>
      <c r="BRL8" s="160"/>
      <c r="BRM8" s="160"/>
      <c r="BRN8" s="160"/>
      <c r="BRO8" s="160"/>
      <c r="BRP8" s="160"/>
      <c r="BRQ8" s="160"/>
      <c r="BRR8" s="160"/>
      <c r="BRS8" s="160"/>
      <c r="BRT8" s="160"/>
      <c r="BRU8" s="160"/>
      <c r="BRV8" s="160"/>
      <c r="BRW8" s="160"/>
      <c r="BRX8" s="160"/>
      <c r="BRY8" s="160"/>
      <c r="BRZ8" s="160"/>
      <c r="BSA8" s="160"/>
      <c r="BSB8" s="160"/>
      <c r="BSC8" s="160"/>
      <c r="BSD8" s="160"/>
      <c r="BSE8" s="160"/>
      <c r="BSF8" s="160"/>
      <c r="BSG8" s="160"/>
      <c r="BSH8" s="160"/>
      <c r="BSI8" s="160"/>
      <c r="BSJ8" s="160"/>
      <c r="BSK8" s="160"/>
      <c r="BSL8" s="160"/>
      <c r="BSM8" s="160"/>
      <c r="BSN8" s="160"/>
      <c r="BSO8" s="160"/>
      <c r="BSP8" s="160"/>
      <c r="BSQ8" s="160"/>
      <c r="BSR8" s="160"/>
      <c r="BSS8" s="160"/>
      <c r="BST8" s="160"/>
      <c r="BSU8" s="160"/>
      <c r="BSV8" s="160"/>
      <c r="BSW8" s="160"/>
      <c r="BSX8" s="160"/>
      <c r="BSY8" s="160"/>
      <c r="BSZ8" s="160"/>
      <c r="BTA8" s="160"/>
      <c r="BTB8" s="160"/>
      <c r="BTC8" s="160"/>
      <c r="BTD8" s="160"/>
      <c r="BTE8" s="160"/>
      <c r="BTF8" s="160"/>
      <c r="BTG8" s="160"/>
      <c r="BTH8" s="160"/>
      <c r="BTI8" s="160"/>
      <c r="BTJ8" s="160"/>
      <c r="BTK8" s="160"/>
      <c r="BTL8" s="160"/>
      <c r="BTM8" s="160"/>
      <c r="BTN8" s="160"/>
      <c r="BTO8" s="160"/>
      <c r="BTP8" s="160"/>
      <c r="BTQ8" s="160"/>
      <c r="BTR8" s="160"/>
      <c r="BTS8" s="160"/>
      <c r="BTT8" s="160"/>
      <c r="BTU8" s="160"/>
      <c r="BTV8" s="160"/>
      <c r="BTW8" s="160"/>
      <c r="BTX8" s="160"/>
      <c r="BTY8" s="160"/>
      <c r="BTZ8" s="160"/>
      <c r="BUA8" s="160"/>
      <c r="BUB8" s="160"/>
      <c r="BUC8" s="160"/>
      <c r="BUD8" s="160"/>
      <c r="BUE8" s="160"/>
      <c r="BUF8" s="160"/>
      <c r="BUG8" s="160"/>
      <c r="BUH8" s="160"/>
      <c r="BUI8" s="160"/>
      <c r="BUJ8" s="160"/>
      <c r="BUK8" s="160"/>
      <c r="BUL8" s="160"/>
      <c r="BUM8" s="160"/>
      <c r="BUN8" s="160"/>
      <c r="BUO8" s="160"/>
      <c r="BUP8" s="160"/>
      <c r="BUQ8" s="160"/>
      <c r="BUR8" s="160"/>
      <c r="BUS8" s="160"/>
      <c r="BUT8" s="160"/>
      <c r="BUU8" s="160"/>
      <c r="BUV8" s="160"/>
      <c r="BUW8" s="160"/>
      <c r="BUX8" s="160"/>
      <c r="BUY8" s="160"/>
      <c r="BUZ8" s="160"/>
      <c r="BVA8" s="160"/>
      <c r="BVB8" s="160"/>
      <c r="BVC8" s="160"/>
      <c r="BVD8" s="160"/>
      <c r="BVE8" s="160"/>
      <c r="BVF8" s="160"/>
      <c r="BVG8" s="160"/>
      <c r="BVH8" s="160"/>
      <c r="BVI8" s="160"/>
      <c r="BVJ8" s="160"/>
      <c r="BVK8" s="160"/>
      <c r="BVL8" s="160"/>
      <c r="BVM8" s="160"/>
      <c r="BVN8" s="160"/>
      <c r="BVO8" s="160"/>
      <c r="BVP8" s="160"/>
      <c r="BVQ8" s="160"/>
      <c r="BVR8" s="160"/>
      <c r="BVS8" s="160"/>
      <c r="BVT8" s="160"/>
      <c r="BVU8" s="160"/>
      <c r="BVV8" s="160"/>
      <c r="BVW8" s="160"/>
      <c r="BVX8" s="160"/>
      <c r="BVY8" s="160"/>
      <c r="BVZ8" s="160"/>
      <c r="BWA8" s="160"/>
      <c r="BWB8" s="160"/>
      <c r="BWC8" s="160"/>
      <c r="BWD8" s="160"/>
      <c r="BWE8" s="160"/>
      <c r="BWF8" s="160"/>
      <c r="BWG8" s="160"/>
      <c r="BWH8" s="160"/>
      <c r="BWI8" s="160"/>
      <c r="BWJ8" s="160"/>
      <c r="BWK8" s="160"/>
      <c r="BWL8" s="160"/>
      <c r="BWM8" s="160"/>
      <c r="BWN8" s="160"/>
      <c r="BWO8" s="160"/>
      <c r="BWP8" s="160"/>
      <c r="BWQ8" s="160"/>
      <c r="BWR8" s="160"/>
      <c r="BWS8" s="160"/>
      <c r="BWT8" s="160"/>
      <c r="BWU8" s="160"/>
      <c r="BWV8" s="160"/>
      <c r="BWW8" s="160"/>
      <c r="BWX8" s="160"/>
      <c r="BWY8" s="160"/>
      <c r="BWZ8" s="160"/>
      <c r="BXA8" s="160"/>
      <c r="BXB8" s="160"/>
      <c r="BXC8" s="160"/>
      <c r="BXD8" s="160"/>
      <c r="BXE8" s="160"/>
      <c r="BXF8" s="160"/>
      <c r="BXG8" s="160"/>
      <c r="BXH8" s="160"/>
      <c r="BXI8" s="160"/>
      <c r="BXJ8" s="160"/>
      <c r="BXK8" s="160"/>
      <c r="BXL8" s="160"/>
      <c r="BXM8" s="160"/>
      <c r="BXN8" s="160"/>
      <c r="BXO8" s="160"/>
      <c r="BXP8" s="160"/>
      <c r="BXQ8" s="160"/>
      <c r="BXR8" s="160"/>
      <c r="BXS8" s="160"/>
      <c r="BXT8" s="160"/>
      <c r="BXU8" s="160"/>
      <c r="BXV8" s="160"/>
      <c r="BXW8" s="160"/>
      <c r="BXX8" s="160"/>
      <c r="BXY8" s="160"/>
      <c r="BXZ8" s="160"/>
      <c r="BYA8" s="160"/>
      <c r="BYB8" s="160"/>
      <c r="BYC8" s="160"/>
      <c r="BYD8" s="160"/>
      <c r="BYE8" s="160"/>
      <c r="BYF8" s="160"/>
      <c r="BYG8" s="160"/>
    </row>
    <row r="9" spans="1:2009" s="3" customFormat="1" ht="12.75" customHeight="1" thickBot="1" x14ac:dyDescent="0.3">
      <c r="A9" s="72"/>
      <c r="B9" s="72"/>
      <c r="C9" s="131"/>
      <c r="D9" s="131"/>
      <c r="E9" s="131"/>
      <c r="F9" s="131"/>
      <c r="G9" s="508"/>
      <c r="I9" s="26"/>
    </row>
    <row r="10" spans="1:2009" s="73" customFormat="1" ht="24.95" customHeight="1" x14ac:dyDescent="0.25">
      <c r="A10" s="97" t="s">
        <v>66</v>
      </c>
      <c r="B10" s="98"/>
      <c r="C10" s="132"/>
      <c r="D10" s="132"/>
      <c r="E10" s="133"/>
      <c r="F10" s="133"/>
      <c r="G10" s="509"/>
      <c r="H10"/>
      <c r="I10" s="21"/>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QI10"/>
      <c r="BQJ10"/>
      <c r="BQK10"/>
      <c r="BQL10"/>
      <c r="BQM10"/>
      <c r="BQN10"/>
      <c r="BQO10"/>
      <c r="BQP10"/>
      <c r="BQQ10"/>
      <c r="BQR10"/>
      <c r="BQS10"/>
      <c r="BQT10"/>
      <c r="BQU10"/>
      <c r="BQV10"/>
      <c r="BQW10"/>
      <c r="BQX10"/>
      <c r="BQY10"/>
      <c r="BQZ10"/>
      <c r="BRA10"/>
      <c r="BRB10"/>
      <c r="BRC10"/>
      <c r="BRD10"/>
      <c r="BRE10"/>
      <c r="BRF10"/>
      <c r="BRG10"/>
      <c r="BRH10"/>
      <c r="BRI10"/>
      <c r="BRJ10"/>
      <c r="BRK10"/>
      <c r="BRL10"/>
      <c r="BRM10"/>
      <c r="BRN10"/>
      <c r="BRO10"/>
      <c r="BRP10"/>
      <c r="BRQ10"/>
      <c r="BRR10"/>
      <c r="BRS10"/>
      <c r="BRT10"/>
      <c r="BRU10"/>
      <c r="BRV10"/>
      <c r="BRW10"/>
      <c r="BRX10"/>
      <c r="BRY10"/>
      <c r="BRZ10"/>
      <c r="BSA10"/>
      <c r="BSB10"/>
      <c r="BSC10"/>
      <c r="BSD10"/>
      <c r="BSE10"/>
      <c r="BSF10"/>
      <c r="BSG10"/>
      <c r="BSH10"/>
      <c r="BSI10"/>
      <c r="BSJ10"/>
      <c r="BSK10"/>
      <c r="BSL10"/>
      <c r="BSM10"/>
      <c r="BSN10"/>
      <c r="BSO10"/>
      <c r="BSP10"/>
      <c r="BSQ10"/>
      <c r="BSR10"/>
      <c r="BSS10"/>
      <c r="BST10"/>
      <c r="BSU10"/>
      <c r="BSV10"/>
      <c r="BSW10"/>
      <c r="BSX10"/>
      <c r="BSY10"/>
      <c r="BSZ10"/>
      <c r="BTA10"/>
      <c r="BTB10"/>
      <c r="BTC10"/>
      <c r="BTD10"/>
      <c r="BTE10"/>
      <c r="BTF10"/>
      <c r="BTG10"/>
      <c r="BTH10"/>
      <c r="BTI10"/>
      <c r="BTJ10"/>
      <c r="BTK10"/>
      <c r="BTL10"/>
      <c r="BTM10"/>
      <c r="BTN10"/>
      <c r="BTO10"/>
      <c r="BTP10"/>
      <c r="BTQ10"/>
      <c r="BTR10"/>
      <c r="BTS10"/>
      <c r="BTT10"/>
      <c r="BTU10"/>
      <c r="BTV10"/>
      <c r="BTW10"/>
      <c r="BTX10"/>
      <c r="BTY10"/>
      <c r="BTZ10"/>
      <c r="BUA10"/>
      <c r="BUB10"/>
      <c r="BUC10"/>
      <c r="BUD10"/>
      <c r="BUE10"/>
      <c r="BUF10"/>
      <c r="BUG10"/>
      <c r="BUH10"/>
      <c r="BUI10"/>
      <c r="BUJ10"/>
      <c r="BUK10"/>
      <c r="BUL10"/>
      <c r="BUM10"/>
      <c r="BUN10"/>
      <c r="BUO10"/>
      <c r="BUP10"/>
      <c r="BUQ10"/>
      <c r="BUR10"/>
      <c r="BUS10"/>
      <c r="BUT10"/>
      <c r="BUU10"/>
      <c r="BUV10"/>
      <c r="BUW10"/>
      <c r="BUX10"/>
      <c r="BUY10"/>
      <c r="BUZ10"/>
      <c r="BVA10"/>
      <c r="BVB10"/>
      <c r="BVC10"/>
      <c r="BVD10"/>
      <c r="BVE10"/>
      <c r="BVF10"/>
      <c r="BVG10"/>
      <c r="BVH10"/>
      <c r="BVI10"/>
      <c r="BVJ10"/>
      <c r="BVK10"/>
      <c r="BVL10"/>
      <c r="BVM10"/>
      <c r="BVN10"/>
      <c r="BVO10"/>
      <c r="BVP10"/>
      <c r="BVQ10"/>
      <c r="BVR10"/>
      <c r="BVS10"/>
      <c r="BVT10"/>
      <c r="BVU10"/>
      <c r="BVV10"/>
      <c r="BVW10"/>
      <c r="BVX10"/>
      <c r="BVY10"/>
      <c r="BVZ10"/>
      <c r="BWA10"/>
      <c r="BWB10"/>
      <c r="BWC10"/>
      <c r="BWD10"/>
      <c r="BWE10"/>
      <c r="BWF10"/>
      <c r="BWG10"/>
      <c r="BWH10"/>
      <c r="BWI10"/>
      <c r="BWJ10"/>
      <c r="BWK10"/>
      <c r="BWL10"/>
      <c r="BWM10"/>
      <c r="BWN10"/>
      <c r="BWO10"/>
      <c r="BWP10"/>
      <c r="BWQ10"/>
      <c r="BWR10"/>
      <c r="BWS10"/>
      <c r="BWT10"/>
      <c r="BWU10"/>
      <c r="BWV10"/>
      <c r="BWW10"/>
      <c r="BWX10"/>
      <c r="BWY10"/>
      <c r="BWZ10"/>
      <c r="BXA10"/>
      <c r="BXB10"/>
      <c r="BXC10"/>
      <c r="BXD10"/>
      <c r="BXE10"/>
      <c r="BXF10"/>
      <c r="BXG10"/>
      <c r="BXH10"/>
      <c r="BXI10"/>
      <c r="BXJ10"/>
      <c r="BXK10"/>
      <c r="BXL10"/>
      <c r="BXM10"/>
      <c r="BXN10"/>
      <c r="BXO10"/>
      <c r="BXP10"/>
      <c r="BXQ10"/>
      <c r="BXR10"/>
      <c r="BXS10"/>
      <c r="BXT10"/>
      <c r="BXU10"/>
      <c r="BXV10"/>
      <c r="BXW10"/>
      <c r="BXX10"/>
      <c r="BXY10"/>
      <c r="BXZ10"/>
      <c r="BYA10"/>
      <c r="BYB10"/>
      <c r="BYC10"/>
      <c r="BYD10"/>
      <c r="BYE10"/>
      <c r="BYF10"/>
      <c r="BYG10"/>
    </row>
    <row r="11" spans="1:2009" s="73" customFormat="1" ht="24.95" hidden="1" customHeight="1" x14ac:dyDescent="0.25">
      <c r="A11" s="99"/>
      <c r="B11" s="74" t="s">
        <v>42</v>
      </c>
      <c r="C11" s="134"/>
      <c r="D11" s="134"/>
      <c r="E11" s="135"/>
      <c r="F11" s="135"/>
      <c r="G11" s="510">
        <f>ROUND(SUM(C11:F11),5)</f>
        <v>0</v>
      </c>
      <c r="H11"/>
      <c r="I11" s="2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row>
    <row r="12" spans="1:2009" s="73" customFormat="1" ht="24.95" hidden="1" customHeight="1" x14ac:dyDescent="0.25">
      <c r="A12" s="99"/>
      <c r="B12" s="74" t="s">
        <v>460</v>
      </c>
      <c r="C12" s="134"/>
      <c r="D12" s="134"/>
      <c r="E12" s="135"/>
      <c r="F12" s="135"/>
      <c r="G12" s="510">
        <f>ROUND(SUM(C12:F12),5)</f>
        <v>0</v>
      </c>
      <c r="H12"/>
      <c r="I12" s="21"/>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c r="AML12"/>
      <c r="AMM12"/>
      <c r="AMN12"/>
      <c r="AMO12"/>
      <c r="AMP12"/>
      <c r="AMQ12"/>
      <c r="AMR12"/>
      <c r="AMS12"/>
      <c r="AMT12"/>
      <c r="AMU12"/>
      <c r="AMV12"/>
      <c r="AMW12"/>
      <c r="AMX12"/>
      <c r="AMY12"/>
      <c r="AMZ12"/>
      <c r="ANA12"/>
      <c r="ANB12"/>
      <c r="ANC12"/>
      <c r="AND12"/>
      <c r="ANE12"/>
      <c r="ANF12"/>
      <c r="ANG12"/>
      <c r="ANH12"/>
      <c r="ANI12"/>
      <c r="ANJ12"/>
      <c r="ANK12"/>
      <c r="ANL12"/>
      <c r="ANM12"/>
      <c r="ANN12"/>
      <c r="ANO12"/>
      <c r="ANP12"/>
      <c r="ANQ12"/>
      <c r="ANR12"/>
      <c r="ANS12"/>
      <c r="ANT12"/>
      <c r="ANU12"/>
      <c r="ANV12"/>
      <c r="ANW12"/>
      <c r="ANX12"/>
      <c r="ANY12"/>
      <c r="ANZ12"/>
      <c r="AOA12"/>
      <c r="AOB12"/>
      <c r="AOC12"/>
      <c r="AOD12"/>
      <c r="AOE12"/>
      <c r="AOF12"/>
      <c r="AOG12"/>
      <c r="AOH12"/>
      <c r="AOI12"/>
      <c r="AOJ12"/>
      <c r="AOK12"/>
      <c r="AOL12"/>
      <c r="AOM12"/>
      <c r="AON12"/>
      <c r="AOO12"/>
      <c r="AOP12"/>
      <c r="AOQ12"/>
      <c r="AOR12"/>
      <c r="AOS12"/>
      <c r="AOT12"/>
      <c r="AOU12"/>
      <c r="AOV12"/>
      <c r="AOW12"/>
      <c r="AOX12"/>
      <c r="AOY12"/>
      <c r="AOZ12"/>
      <c r="APA12"/>
      <c r="APB12"/>
      <c r="APC12"/>
      <c r="APD12"/>
      <c r="APE12"/>
      <c r="APF12"/>
      <c r="APG12"/>
      <c r="APH12"/>
      <c r="API12"/>
      <c r="APJ12"/>
      <c r="APK12"/>
      <c r="APL12"/>
      <c r="APM12"/>
      <c r="APN12"/>
      <c r="APO12"/>
      <c r="APP12"/>
      <c r="APQ12"/>
      <c r="APR12"/>
      <c r="APS12"/>
      <c r="APT12"/>
      <c r="APU12"/>
      <c r="APV12"/>
      <c r="APW12"/>
      <c r="APX12"/>
      <c r="APY12"/>
      <c r="APZ12"/>
      <c r="AQA12"/>
      <c r="AQB12"/>
      <c r="AQC12"/>
      <c r="AQD12"/>
      <c r="AQE12"/>
      <c r="AQF12"/>
      <c r="AQG12"/>
      <c r="AQH12"/>
      <c r="AQI12"/>
      <c r="AQJ12"/>
      <c r="AQK12"/>
      <c r="AQL12"/>
      <c r="AQM12"/>
      <c r="AQN12"/>
      <c r="AQO12"/>
      <c r="AQP12"/>
      <c r="AQQ12"/>
      <c r="AQR12"/>
      <c r="AQS12"/>
      <c r="AQT12"/>
      <c r="AQU12"/>
      <c r="AQV12"/>
      <c r="AQW12"/>
      <c r="AQX12"/>
      <c r="AQY12"/>
      <c r="AQZ12"/>
      <c r="ARA12"/>
      <c r="ARB12"/>
      <c r="ARC12"/>
      <c r="ARD12"/>
      <c r="ARE12"/>
      <c r="ARF12"/>
      <c r="ARG12"/>
      <c r="ARH12"/>
      <c r="ARI12"/>
      <c r="ARJ12"/>
      <c r="ARK12"/>
      <c r="ARL12"/>
      <c r="ARM12"/>
      <c r="ARN12"/>
      <c r="ARO12"/>
      <c r="ARP12"/>
      <c r="ARQ12"/>
      <c r="ARR12"/>
      <c r="ARS12"/>
      <c r="ART12"/>
      <c r="ARU12"/>
      <c r="ARV12"/>
      <c r="ARW12"/>
      <c r="ARX12"/>
      <c r="ARY12"/>
      <c r="ARZ12"/>
      <c r="ASA12"/>
      <c r="ASB12"/>
      <c r="ASC12"/>
      <c r="ASD12"/>
      <c r="ASE12"/>
      <c r="ASF12"/>
      <c r="ASG12"/>
      <c r="ASH12"/>
      <c r="ASI12"/>
      <c r="ASJ12"/>
      <c r="ASK12"/>
      <c r="ASL12"/>
      <c r="ASM12"/>
      <c r="ASN12"/>
      <c r="ASO12"/>
      <c r="ASP12"/>
      <c r="ASQ12"/>
      <c r="ASR12"/>
      <c r="ASS12"/>
      <c r="AST12"/>
      <c r="ASU12"/>
      <c r="ASV12"/>
      <c r="ASW12"/>
      <c r="ASX12"/>
      <c r="ASY12"/>
      <c r="ASZ12"/>
      <c r="ATA12"/>
      <c r="ATB12"/>
      <c r="ATC12"/>
      <c r="ATD12"/>
      <c r="ATE12"/>
      <c r="ATF12"/>
      <c r="ATG12"/>
      <c r="ATH12"/>
      <c r="ATI12"/>
      <c r="ATJ12"/>
      <c r="ATK12"/>
      <c r="ATL12"/>
      <c r="ATM12"/>
      <c r="ATN12"/>
      <c r="ATO12"/>
      <c r="ATP12"/>
      <c r="ATQ12"/>
      <c r="ATR12"/>
      <c r="ATS12"/>
      <c r="ATT12"/>
      <c r="ATU12"/>
      <c r="ATV12"/>
      <c r="ATW12"/>
      <c r="ATX12"/>
      <c r="ATY12"/>
      <c r="ATZ12"/>
      <c r="AUA12"/>
      <c r="AUB12"/>
      <c r="AUC12"/>
      <c r="AUD12"/>
      <c r="AUE12"/>
      <c r="AUF12"/>
      <c r="AUG12"/>
      <c r="AUH12"/>
      <c r="AUI12"/>
      <c r="AUJ12"/>
      <c r="AUK12"/>
      <c r="AUL12"/>
      <c r="AUM12"/>
      <c r="AUN12"/>
      <c r="AUO12"/>
      <c r="AUP12"/>
      <c r="AUQ12"/>
      <c r="AUR12"/>
      <c r="AUS12"/>
      <c r="AUT12"/>
      <c r="AUU12"/>
      <c r="AUV12"/>
      <c r="AUW12"/>
      <c r="AUX12"/>
      <c r="AUY12"/>
      <c r="AUZ12"/>
      <c r="AVA12"/>
      <c r="AVB12"/>
      <c r="AVC12"/>
      <c r="AVD12"/>
      <c r="AVE12"/>
      <c r="AVF12"/>
      <c r="AVG12"/>
      <c r="AVH12"/>
      <c r="AVI12"/>
      <c r="AVJ12"/>
      <c r="AVK12"/>
      <c r="AVL12"/>
      <c r="AVM12"/>
      <c r="AVN12"/>
      <c r="AVO12"/>
      <c r="AVP12"/>
      <c r="AVQ12"/>
      <c r="AVR12"/>
      <c r="AVS12"/>
      <c r="AVT12"/>
      <c r="AVU12"/>
      <c r="AVV12"/>
      <c r="AVW12"/>
      <c r="AVX12"/>
      <c r="AVY12"/>
      <c r="AVZ12"/>
      <c r="AWA12"/>
      <c r="AWB12"/>
      <c r="AWC12"/>
      <c r="AWD12"/>
      <c r="AWE12"/>
      <c r="AWF12"/>
      <c r="AWG12"/>
      <c r="AWH12"/>
      <c r="AWI12"/>
      <c r="AWJ12"/>
      <c r="AWK12"/>
      <c r="AWL12"/>
      <c r="AWM12"/>
      <c r="AWN12"/>
      <c r="AWO12"/>
      <c r="AWP12"/>
      <c r="AWQ12"/>
      <c r="AWR12"/>
      <c r="AWS12"/>
      <c r="AWT12"/>
      <c r="AWU12"/>
      <c r="AWV12"/>
      <c r="AWW12"/>
      <c r="AWX12"/>
      <c r="AWY12"/>
      <c r="AWZ12"/>
      <c r="AXA12"/>
      <c r="AXB12"/>
      <c r="AXC12"/>
      <c r="AXD12"/>
      <c r="AXE12"/>
      <c r="AXF12"/>
      <c r="AXG12"/>
      <c r="AXH12"/>
      <c r="AXI12"/>
      <c r="AXJ12"/>
      <c r="AXK12"/>
      <c r="AXL12"/>
      <c r="AXM12"/>
      <c r="AXN12"/>
      <c r="AXO12"/>
      <c r="AXP12"/>
      <c r="AXQ12"/>
      <c r="AXR12"/>
      <c r="AXS12"/>
      <c r="AXT12"/>
      <c r="AXU12"/>
      <c r="AXV12"/>
      <c r="AXW12"/>
      <c r="AXX12"/>
      <c r="AXY12"/>
      <c r="AXZ12"/>
      <c r="AYA12"/>
      <c r="AYB12"/>
      <c r="AYC12"/>
      <c r="AYD12"/>
      <c r="AYE12"/>
      <c r="AYF12"/>
      <c r="AYG12"/>
      <c r="AYH12"/>
      <c r="AYI12"/>
      <c r="AYJ12"/>
      <c r="AYK12"/>
      <c r="AYL12"/>
      <c r="AYM12"/>
      <c r="AYN12"/>
      <c r="AYO12"/>
      <c r="AYP12"/>
      <c r="AYQ12"/>
      <c r="AYR12"/>
      <c r="AYS12"/>
      <c r="AYT12"/>
      <c r="AYU12"/>
      <c r="AYV12"/>
      <c r="AYW12"/>
      <c r="AYX12"/>
      <c r="AYY12"/>
      <c r="AYZ12"/>
      <c r="AZA12"/>
      <c r="AZB12"/>
      <c r="AZC12"/>
      <c r="AZD12"/>
      <c r="AZE12"/>
      <c r="AZF12"/>
      <c r="AZG12"/>
      <c r="AZH12"/>
      <c r="AZI12"/>
      <c r="AZJ12"/>
      <c r="AZK12"/>
      <c r="AZL12"/>
      <c r="AZM12"/>
      <c r="AZN12"/>
      <c r="AZO12"/>
      <c r="AZP12"/>
      <c r="AZQ12"/>
      <c r="AZR12"/>
      <c r="AZS12"/>
      <c r="AZT12"/>
      <c r="AZU12"/>
      <c r="AZV12"/>
      <c r="AZW12"/>
      <c r="AZX12"/>
      <c r="AZY12"/>
      <c r="AZZ12"/>
      <c r="BAA12"/>
      <c r="BAB12"/>
      <c r="BAC12"/>
      <c r="BAD12"/>
      <c r="BAE12"/>
      <c r="BAF12"/>
      <c r="BAG12"/>
      <c r="BAH12"/>
      <c r="BAI12"/>
      <c r="BAJ12"/>
      <c r="BAK12"/>
      <c r="BAL12"/>
      <c r="BAM12"/>
      <c r="BAN12"/>
      <c r="BAO12"/>
      <c r="BAP12"/>
      <c r="BAQ12"/>
      <c r="BAR12"/>
      <c r="BAS12"/>
      <c r="BAT12"/>
      <c r="BAU12"/>
      <c r="BAV12"/>
      <c r="BAW12"/>
      <c r="BAX12"/>
      <c r="BAY12"/>
      <c r="BAZ12"/>
      <c r="BBA12"/>
      <c r="BBB12"/>
      <c r="BBC12"/>
      <c r="BBD12"/>
      <c r="BBE12"/>
      <c r="BBF12"/>
      <c r="BBG12"/>
      <c r="BBH12"/>
      <c r="BBI12"/>
      <c r="BBJ12"/>
      <c r="BBK12"/>
      <c r="BBL12"/>
      <c r="BBM12"/>
      <c r="BBN12"/>
      <c r="BBO12"/>
      <c r="BBP12"/>
      <c r="BBQ12"/>
      <c r="BBR12"/>
      <c r="BBS12"/>
      <c r="BBT12"/>
      <c r="BBU12"/>
      <c r="BBV12"/>
      <c r="BBW12"/>
      <c r="BBX12"/>
      <c r="BBY12"/>
      <c r="BBZ12"/>
      <c r="BCA12"/>
      <c r="BCB12"/>
      <c r="BCC12"/>
      <c r="BCD12"/>
      <c r="BCE12"/>
      <c r="BCF12"/>
      <c r="BCG12"/>
      <c r="BCH12"/>
      <c r="BCI12"/>
      <c r="BCJ12"/>
      <c r="BCK12"/>
      <c r="BCL12"/>
      <c r="BCM12"/>
      <c r="BCN12"/>
      <c r="BCO12"/>
      <c r="BCP12"/>
      <c r="BCQ12"/>
      <c r="BCR12"/>
      <c r="BCS12"/>
      <c r="BCT12"/>
      <c r="BCU12"/>
      <c r="BCV12"/>
      <c r="BCW12"/>
      <c r="BCX12"/>
      <c r="BCY12"/>
      <c r="BCZ12"/>
      <c r="BDA12"/>
      <c r="BDB12"/>
      <c r="BDC12"/>
      <c r="BDD12"/>
      <c r="BDE12"/>
      <c r="BDF12"/>
      <c r="BDG12"/>
      <c r="BDH12"/>
      <c r="BDI12"/>
      <c r="BDJ12"/>
      <c r="BDK12"/>
      <c r="BDL12"/>
      <c r="BDM12"/>
      <c r="BDN12"/>
      <c r="BDO12"/>
      <c r="BDP12"/>
      <c r="BDQ12"/>
      <c r="BDR12"/>
      <c r="BDS12"/>
      <c r="BDT12"/>
      <c r="BDU12"/>
      <c r="BDV12"/>
      <c r="BDW12"/>
      <c r="BDX12"/>
      <c r="BDY12"/>
      <c r="BDZ12"/>
      <c r="BEA12"/>
      <c r="BEB12"/>
      <c r="BEC12"/>
      <c r="BED12"/>
      <c r="BEE12"/>
      <c r="BEF12"/>
      <c r="BEG12"/>
      <c r="BEH12"/>
      <c r="BEI12"/>
      <c r="BEJ12"/>
      <c r="BEK12"/>
      <c r="BEL12"/>
      <c r="BEM12"/>
      <c r="BEN12"/>
      <c r="BEO12"/>
      <c r="BEP12"/>
      <c r="BEQ12"/>
      <c r="BER12"/>
      <c r="BES12"/>
      <c r="BET12"/>
      <c r="BEU12"/>
      <c r="BEV12"/>
      <c r="BEW12"/>
      <c r="BEX12"/>
      <c r="BEY12"/>
      <c r="BEZ12"/>
      <c r="BFA12"/>
      <c r="BFB12"/>
      <c r="BFC12"/>
      <c r="BFD12"/>
      <c r="BFE12"/>
      <c r="BFF12"/>
      <c r="BFG12"/>
      <c r="BFH12"/>
      <c r="BFI12"/>
      <c r="BFJ12"/>
      <c r="BFK12"/>
      <c r="BFL12"/>
      <c r="BFM12"/>
      <c r="BFN12"/>
      <c r="BFO12"/>
      <c r="BFP12"/>
      <c r="BFQ12"/>
      <c r="BFR12"/>
      <c r="BFS12"/>
      <c r="BFT12"/>
      <c r="BFU12"/>
      <c r="BFV12"/>
      <c r="BFW12"/>
      <c r="BFX12"/>
      <c r="BFY12"/>
      <c r="BFZ12"/>
      <c r="BGA12"/>
      <c r="BGB12"/>
      <c r="BGC12"/>
      <c r="BGD12"/>
      <c r="BGE12"/>
      <c r="BGF12"/>
      <c r="BGG12"/>
      <c r="BGH12"/>
      <c r="BGI12"/>
      <c r="BGJ12"/>
      <c r="BGK12"/>
      <c r="BGL12"/>
      <c r="BGM12"/>
      <c r="BGN12"/>
      <c r="BGO12"/>
      <c r="BGP12"/>
      <c r="BGQ12"/>
      <c r="BGR12"/>
      <c r="BGS12"/>
      <c r="BGT12"/>
      <c r="BGU12"/>
      <c r="BGV12"/>
      <c r="BGW12"/>
      <c r="BGX12"/>
      <c r="BGY12"/>
      <c r="BGZ12"/>
      <c r="BHA12"/>
      <c r="BHB12"/>
      <c r="BHC12"/>
      <c r="BHD12"/>
      <c r="BHE12"/>
      <c r="BHF12"/>
      <c r="BHG12"/>
      <c r="BHH12"/>
      <c r="BHI12"/>
      <c r="BHJ12"/>
      <c r="BHK12"/>
      <c r="BHL12"/>
      <c r="BHM12"/>
      <c r="BHN12"/>
      <c r="BHO12"/>
      <c r="BHP12"/>
      <c r="BHQ12"/>
      <c r="BHR12"/>
      <c r="BHS12"/>
      <c r="BHT12"/>
      <c r="BHU12"/>
      <c r="BHV12"/>
      <c r="BHW12"/>
      <c r="BHX12"/>
      <c r="BHY12"/>
      <c r="BHZ12"/>
      <c r="BIA12"/>
      <c r="BIB12"/>
      <c r="BIC12"/>
      <c r="BID12"/>
      <c r="BIE12"/>
      <c r="BIF12"/>
      <c r="BIG12"/>
      <c r="BIH12"/>
      <c r="BII12"/>
      <c r="BIJ12"/>
      <c r="BIK12"/>
      <c r="BIL12"/>
      <c r="BIM12"/>
      <c r="BIN12"/>
      <c r="BIO12"/>
      <c r="BIP12"/>
      <c r="BIQ12"/>
      <c r="BIR12"/>
      <c r="BIS12"/>
      <c r="BIT12"/>
      <c r="BIU12"/>
      <c r="BIV12"/>
      <c r="BIW12"/>
      <c r="BIX12"/>
      <c r="BIY12"/>
      <c r="BIZ12"/>
      <c r="BJA12"/>
      <c r="BJB12"/>
      <c r="BJC12"/>
      <c r="BJD12"/>
      <c r="BJE12"/>
      <c r="BJF12"/>
      <c r="BJG12"/>
      <c r="BJH12"/>
      <c r="BJI12"/>
      <c r="BJJ12"/>
      <c r="BJK12"/>
      <c r="BJL12"/>
      <c r="BJM12"/>
      <c r="BJN12"/>
      <c r="BJO12"/>
      <c r="BJP12"/>
      <c r="BJQ12"/>
      <c r="BJR12"/>
      <c r="BJS12"/>
      <c r="BJT12"/>
      <c r="BJU12"/>
      <c r="BJV12"/>
      <c r="BJW12"/>
      <c r="BJX12"/>
      <c r="BJY12"/>
      <c r="BJZ12"/>
      <c r="BKA12"/>
      <c r="BKB12"/>
      <c r="BKC12"/>
      <c r="BKD12"/>
      <c r="BKE12"/>
      <c r="BKF12"/>
      <c r="BKG12"/>
      <c r="BKH12"/>
      <c r="BKI12"/>
      <c r="BKJ12"/>
      <c r="BKK12"/>
      <c r="BKL12"/>
      <c r="BKM12"/>
      <c r="BKN12"/>
      <c r="BKO12"/>
      <c r="BKP12"/>
      <c r="BKQ12"/>
      <c r="BKR12"/>
      <c r="BKS12"/>
      <c r="BKT12"/>
      <c r="BKU12"/>
      <c r="BKV12"/>
      <c r="BKW12"/>
      <c r="BKX12"/>
      <c r="BKY12"/>
      <c r="BKZ12"/>
      <c r="BLA12"/>
      <c r="BLB12"/>
      <c r="BLC12"/>
      <c r="BLD12"/>
      <c r="BLE12"/>
      <c r="BLF12"/>
      <c r="BLG12"/>
      <c r="BLH12"/>
      <c r="BLI12"/>
      <c r="BLJ12"/>
      <c r="BLK12"/>
      <c r="BLL12"/>
      <c r="BLM12"/>
      <c r="BLN12"/>
      <c r="BLO12"/>
      <c r="BLP12"/>
      <c r="BLQ12"/>
      <c r="BLR12"/>
      <c r="BLS12"/>
      <c r="BLT12"/>
      <c r="BLU12"/>
      <c r="BLV12"/>
      <c r="BLW12"/>
      <c r="BLX12"/>
      <c r="BLY12"/>
      <c r="BLZ12"/>
      <c r="BMA12"/>
      <c r="BMB12"/>
      <c r="BMC12"/>
      <c r="BMD12"/>
      <c r="BME12"/>
      <c r="BMF12"/>
      <c r="BMG12"/>
      <c r="BMH12"/>
      <c r="BMI12"/>
      <c r="BMJ12"/>
      <c r="BMK12"/>
      <c r="BML12"/>
      <c r="BMM12"/>
      <c r="BMN12"/>
      <c r="BMO12"/>
      <c r="BMP12"/>
      <c r="BMQ12"/>
      <c r="BMR12"/>
      <c r="BMS12"/>
      <c r="BMT12"/>
      <c r="BMU12"/>
      <c r="BMV12"/>
      <c r="BMW12"/>
      <c r="BMX12"/>
      <c r="BMY12"/>
      <c r="BMZ12"/>
      <c r="BNA12"/>
      <c r="BNB12"/>
      <c r="BNC12"/>
      <c r="BND12"/>
      <c r="BNE12"/>
      <c r="BNF12"/>
      <c r="BNG12"/>
      <c r="BNH12"/>
      <c r="BNI12"/>
      <c r="BNJ12"/>
      <c r="BNK12"/>
      <c r="BNL12"/>
      <c r="BNM12"/>
      <c r="BNN12"/>
      <c r="BNO12"/>
      <c r="BNP12"/>
      <c r="BNQ12"/>
      <c r="BNR12"/>
      <c r="BNS12"/>
      <c r="BNT12"/>
      <c r="BNU12"/>
      <c r="BNV12"/>
      <c r="BNW12"/>
      <c r="BNX12"/>
      <c r="BNY12"/>
      <c r="BNZ12"/>
      <c r="BOA12"/>
      <c r="BOB12"/>
      <c r="BOC12"/>
      <c r="BOD12"/>
      <c r="BOE12"/>
      <c r="BOF12"/>
      <c r="BOG12"/>
      <c r="BOH12"/>
      <c r="BOI12"/>
      <c r="BOJ12"/>
      <c r="BOK12"/>
      <c r="BOL12"/>
      <c r="BOM12"/>
      <c r="BON12"/>
      <c r="BOO12"/>
      <c r="BOP12"/>
      <c r="BOQ12"/>
      <c r="BOR12"/>
      <c r="BOS12"/>
      <c r="BOT12"/>
      <c r="BOU12"/>
      <c r="BOV12"/>
      <c r="BOW12"/>
      <c r="BOX12"/>
      <c r="BOY12"/>
      <c r="BOZ12"/>
      <c r="BPA12"/>
      <c r="BPB12"/>
      <c r="BPC12"/>
      <c r="BPD12"/>
      <c r="BPE12"/>
      <c r="BPF12"/>
      <c r="BPG12"/>
      <c r="BPH12"/>
      <c r="BPI12"/>
      <c r="BPJ12"/>
      <c r="BPK12"/>
      <c r="BPL12"/>
      <c r="BPM12"/>
      <c r="BPN12"/>
      <c r="BPO12"/>
      <c r="BPP12"/>
      <c r="BPQ12"/>
      <c r="BPR12"/>
      <c r="BPS12"/>
      <c r="BPT12"/>
      <c r="BPU12"/>
      <c r="BPV12"/>
      <c r="BPW12"/>
      <c r="BPX12"/>
      <c r="BPY12"/>
      <c r="BPZ12"/>
      <c r="BQA12"/>
      <c r="BQB12"/>
      <c r="BQC12"/>
      <c r="BQD12"/>
      <c r="BQE12"/>
      <c r="BQF12"/>
      <c r="BQG12"/>
      <c r="BQH12"/>
      <c r="BQI12"/>
      <c r="BQJ12"/>
      <c r="BQK12"/>
      <c r="BQL12"/>
      <c r="BQM12"/>
      <c r="BQN12"/>
      <c r="BQO12"/>
      <c r="BQP12"/>
      <c r="BQQ12"/>
      <c r="BQR12"/>
      <c r="BQS12"/>
      <c r="BQT12"/>
      <c r="BQU12"/>
      <c r="BQV12"/>
      <c r="BQW12"/>
      <c r="BQX12"/>
      <c r="BQY12"/>
      <c r="BQZ12"/>
      <c r="BRA12"/>
      <c r="BRB12"/>
      <c r="BRC12"/>
      <c r="BRD12"/>
      <c r="BRE12"/>
      <c r="BRF12"/>
      <c r="BRG12"/>
      <c r="BRH12"/>
      <c r="BRI12"/>
      <c r="BRJ12"/>
      <c r="BRK12"/>
      <c r="BRL12"/>
      <c r="BRM12"/>
      <c r="BRN12"/>
      <c r="BRO12"/>
      <c r="BRP12"/>
      <c r="BRQ12"/>
      <c r="BRR12"/>
      <c r="BRS12"/>
      <c r="BRT12"/>
      <c r="BRU12"/>
      <c r="BRV12"/>
      <c r="BRW12"/>
      <c r="BRX12"/>
      <c r="BRY12"/>
      <c r="BRZ12"/>
      <c r="BSA12"/>
      <c r="BSB12"/>
      <c r="BSC12"/>
      <c r="BSD12"/>
      <c r="BSE12"/>
      <c r="BSF12"/>
      <c r="BSG12"/>
      <c r="BSH12"/>
      <c r="BSI12"/>
      <c r="BSJ12"/>
      <c r="BSK12"/>
      <c r="BSL12"/>
      <c r="BSM12"/>
      <c r="BSN12"/>
      <c r="BSO12"/>
      <c r="BSP12"/>
      <c r="BSQ12"/>
      <c r="BSR12"/>
      <c r="BSS12"/>
      <c r="BST12"/>
      <c r="BSU12"/>
      <c r="BSV12"/>
      <c r="BSW12"/>
      <c r="BSX12"/>
      <c r="BSY12"/>
      <c r="BSZ12"/>
      <c r="BTA12"/>
      <c r="BTB12"/>
      <c r="BTC12"/>
      <c r="BTD12"/>
      <c r="BTE12"/>
      <c r="BTF12"/>
      <c r="BTG12"/>
      <c r="BTH12"/>
      <c r="BTI12"/>
      <c r="BTJ12"/>
      <c r="BTK12"/>
      <c r="BTL12"/>
      <c r="BTM12"/>
      <c r="BTN12"/>
      <c r="BTO12"/>
      <c r="BTP12"/>
      <c r="BTQ12"/>
      <c r="BTR12"/>
      <c r="BTS12"/>
      <c r="BTT12"/>
      <c r="BTU12"/>
      <c r="BTV12"/>
      <c r="BTW12"/>
      <c r="BTX12"/>
      <c r="BTY12"/>
      <c r="BTZ12"/>
      <c r="BUA12"/>
      <c r="BUB12"/>
      <c r="BUC12"/>
      <c r="BUD12"/>
      <c r="BUE12"/>
      <c r="BUF12"/>
      <c r="BUG12"/>
      <c r="BUH12"/>
      <c r="BUI12"/>
      <c r="BUJ12"/>
      <c r="BUK12"/>
      <c r="BUL12"/>
      <c r="BUM12"/>
      <c r="BUN12"/>
      <c r="BUO12"/>
      <c r="BUP12"/>
      <c r="BUQ12"/>
      <c r="BUR12"/>
      <c r="BUS12"/>
      <c r="BUT12"/>
      <c r="BUU12"/>
      <c r="BUV12"/>
      <c r="BUW12"/>
      <c r="BUX12"/>
      <c r="BUY12"/>
      <c r="BUZ12"/>
      <c r="BVA12"/>
      <c r="BVB12"/>
      <c r="BVC12"/>
      <c r="BVD12"/>
      <c r="BVE12"/>
      <c r="BVF12"/>
      <c r="BVG12"/>
      <c r="BVH12"/>
      <c r="BVI12"/>
      <c r="BVJ12"/>
      <c r="BVK12"/>
      <c r="BVL12"/>
      <c r="BVM12"/>
      <c r="BVN12"/>
      <c r="BVO12"/>
      <c r="BVP12"/>
      <c r="BVQ12"/>
      <c r="BVR12"/>
      <c r="BVS12"/>
      <c r="BVT12"/>
      <c r="BVU12"/>
      <c r="BVV12"/>
      <c r="BVW12"/>
      <c r="BVX12"/>
      <c r="BVY12"/>
      <c r="BVZ12"/>
      <c r="BWA12"/>
      <c r="BWB12"/>
      <c r="BWC12"/>
      <c r="BWD12"/>
      <c r="BWE12"/>
      <c r="BWF12"/>
      <c r="BWG12"/>
      <c r="BWH12"/>
      <c r="BWI12"/>
      <c r="BWJ12"/>
      <c r="BWK12"/>
      <c r="BWL12"/>
      <c r="BWM12"/>
      <c r="BWN12"/>
      <c r="BWO12"/>
      <c r="BWP12"/>
      <c r="BWQ12"/>
      <c r="BWR12"/>
      <c r="BWS12"/>
      <c r="BWT12"/>
      <c r="BWU12"/>
      <c r="BWV12"/>
      <c r="BWW12"/>
      <c r="BWX12"/>
      <c r="BWY12"/>
      <c r="BWZ12"/>
      <c r="BXA12"/>
      <c r="BXB12"/>
      <c r="BXC12"/>
      <c r="BXD12"/>
      <c r="BXE12"/>
      <c r="BXF12"/>
      <c r="BXG12"/>
      <c r="BXH12"/>
      <c r="BXI12"/>
      <c r="BXJ12"/>
      <c r="BXK12"/>
      <c r="BXL12"/>
      <c r="BXM12"/>
      <c r="BXN12"/>
      <c r="BXO12"/>
      <c r="BXP12"/>
      <c r="BXQ12"/>
      <c r="BXR12"/>
      <c r="BXS12"/>
      <c r="BXT12"/>
      <c r="BXU12"/>
      <c r="BXV12"/>
      <c r="BXW12"/>
      <c r="BXX12"/>
      <c r="BXY12"/>
      <c r="BXZ12"/>
      <c r="BYA12"/>
      <c r="BYB12"/>
      <c r="BYC12"/>
      <c r="BYD12"/>
      <c r="BYE12"/>
      <c r="BYF12"/>
      <c r="BYG12"/>
    </row>
    <row r="13" spans="1:2009" s="73" customFormat="1" ht="24.95" customHeight="1" x14ac:dyDescent="0.25">
      <c r="A13" s="99"/>
      <c r="B13" s="74" t="s">
        <v>579</v>
      </c>
      <c r="C13" s="134">
        <f>55089.7-D13</f>
        <v>48669.57</v>
      </c>
      <c r="D13" s="134">
        <v>6420.13</v>
      </c>
      <c r="E13" s="134"/>
      <c r="F13" s="135"/>
      <c r="G13" s="510">
        <f>ROUND(SUM(C13:F13),5)</f>
        <v>55089.7</v>
      </c>
      <c r="H13"/>
      <c r="I13" s="727"/>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row>
    <row r="14" spans="1:2009" s="165" customFormat="1" ht="24.95" customHeight="1" thickBot="1" x14ac:dyDescent="0.3">
      <c r="A14" s="162"/>
      <c r="B14" s="163" t="s">
        <v>135</v>
      </c>
      <c r="C14" s="164">
        <f>ROUND(SUM(C10:C13),5)</f>
        <v>48669.57</v>
      </c>
      <c r="D14" s="164">
        <f>SUM(D11:D13)</f>
        <v>6420.13</v>
      </c>
      <c r="E14" s="164"/>
      <c r="F14" s="164"/>
      <c r="G14" s="587">
        <f>ROUND(SUM(G10:G13),5)</f>
        <v>55089.7</v>
      </c>
      <c r="H14" s="160"/>
      <c r="I14" s="21"/>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c r="BY14" s="160"/>
      <c r="BZ14" s="160"/>
      <c r="CA14" s="160"/>
      <c r="CB14" s="160"/>
      <c r="CC14" s="160"/>
      <c r="CD14" s="160"/>
      <c r="CE14" s="160"/>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0"/>
      <c r="DD14" s="160"/>
      <c r="DE14" s="160"/>
      <c r="DF14" s="160"/>
      <c r="DG14" s="160"/>
      <c r="DH14" s="160"/>
      <c r="DI14" s="160"/>
      <c r="DJ14" s="160"/>
      <c r="DK14" s="160"/>
      <c r="DL14" s="160"/>
      <c r="DM14" s="160"/>
      <c r="DN14" s="160"/>
      <c r="DO14" s="160"/>
      <c r="DP14" s="160"/>
      <c r="DQ14" s="160"/>
      <c r="DR14" s="160"/>
      <c r="DS14" s="160"/>
      <c r="DT14" s="160"/>
      <c r="DU14" s="160"/>
      <c r="DV14" s="160"/>
      <c r="DW14" s="160"/>
      <c r="DX14" s="160"/>
      <c r="DY14" s="160"/>
      <c r="DZ14" s="160"/>
      <c r="EA14" s="160"/>
      <c r="EB14" s="160"/>
      <c r="EC14" s="160"/>
      <c r="ED14" s="160"/>
      <c r="EE14" s="160"/>
      <c r="EF14" s="160"/>
      <c r="EG14" s="160"/>
      <c r="EH14" s="160"/>
      <c r="EI14" s="160"/>
      <c r="EJ14" s="160"/>
      <c r="EK14" s="160"/>
      <c r="EL14" s="160"/>
      <c r="EM14" s="160"/>
      <c r="EN14" s="160"/>
      <c r="EO14" s="160"/>
      <c r="EP14" s="160"/>
      <c r="EQ14" s="160"/>
      <c r="ER14" s="160"/>
      <c r="ES14" s="160"/>
      <c r="ET14" s="160"/>
      <c r="EU14" s="160"/>
      <c r="EV14" s="160"/>
      <c r="EW14" s="160"/>
      <c r="EX14" s="160"/>
      <c r="EY14" s="160"/>
      <c r="EZ14" s="160"/>
      <c r="FA14" s="160"/>
      <c r="FB14" s="160"/>
      <c r="FC14" s="160"/>
      <c r="FD14" s="160"/>
      <c r="FE14" s="160"/>
      <c r="FF14" s="160"/>
      <c r="FG14" s="160"/>
      <c r="FH14" s="160"/>
      <c r="FI14" s="160"/>
      <c r="FJ14" s="160"/>
      <c r="FK14" s="160"/>
      <c r="FL14" s="160"/>
      <c r="FM14" s="160"/>
      <c r="FN14" s="160"/>
      <c r="FO14" s="160"/>
      <c r="FP14" s="160"/>
      <c r="FQ14" s="160"/>
      <c r="FR14" s="160"/>
      <c r="FS14" s="160"/>
      <c r="FT14" s="160"/>
      <c r="FU14" s="160"/>
      <c r="FV14" s="160"/>
      <c r="FW14" s="160"/>
      <c r="FX14" s="160"/>
      <c r="FY14" s="160"/>
      <c r="FZ14" s="160"/>
      <c r="GA14" s="160"/>
      <c r="GB14" s="160"/>
      <c r="GC14" s="160"/>
      <c r="GD14" s="160"/>
      <c r="GE14" s="160"/>
      <c r="GF14" s="160"/>
      <c r="GG14" s="160"/>
      <c r="GH14" s="160"/>
      <c r="GI14" s="160"/>
      <c r="GJ14" s="160"/>
      <c r="GK14" s="160"/>
      <c r="GL14" s="160"/>
      <c r="GM14" s="160"/>
      <c r="GN14" s="160"/>
      <c r="GO14" s="160"/>
      <c r="GP14" s="160"/>
      <c r="GQ14" s="160"/>
      <c r="GR14" s="160"/>
      <c r="GS14" s="160"/>
      <c r="GT14" s="160"/>
      <c r="GU14" s="160"/>
      <c r="GV14" s="160"/>
      <c r="GW14" s="160"/>
      <c r="GX14" s="160"/>
      <c r="GY14" s="160"/>
      <c r="GZ14" s="160"/>
      <c r="HA14" s="160"/>
      <c r="HB14" s="160"/>
      <c r="HC14" s="160"/>
      <c r="HD14" s="160"/>
      <c r="HE14" s="160"/>
      <c r="HF14" s="160"/>
      <c r="HG14" s="160"/>
      <c r="HH14" s="160"/>
      <c r="HI14" s="160"/>
      <c r="HJ14" s="160"/>
      <c r="HK14" s="160"/>
      <c r="HL14" s="160"/>
      <c r="HM14" s="160"/>
      <c r="HN14" s="160"/>
      <c r="HO14" s="160"/>
      <c r="HP14" s="160"/>
      <c r="HQ14" s="160"/>
      <c r="HR14" s="160"/>
      <c r="HS14" s="160"/>
      <c r="HT14" s="160"/>
      <c r="HU14" s="160"/>
      <c r="HV14" s="160"/>
      <c r="HW14" s="160"/>
      <c r="HX14" s="160"/>
      <c r="HY14" s="160"/>
      <c r="HZ14" s="160"/>
      <c r="IA14" s="160"/>
      <c r="IB14" s="160"/>
      <c r="IC14" s="160"/>
      <c r="ID14" s="160"/>
      <c r="IE14" s="160"/>
      <c r="IF14" s="160"/>
      <c r="IG14" s="160"/>
      <c r="IH14" s="160"/>
      <c r="II14" s="160"/>
      <c r="IJ14" s="160"/>
      <c r="IK14" s="160"/>
      <c r="IL14" s="160"/>
      <c r="IM14" s="160"/>
      <c r="IN14" s="160"/>
      <c r="IO14" s="160"/>
      <c r="IP14" s="160"/>
      <c r="IQ14" s="160"/>
      <c r="IR14" s="160"/>
      <c r="IS14" s="160"/>
      <c r="IT14" s="160"/>
      <c r="IU14" s="160"/>
      <c r="IV14" s="160"/>
      <c r="IW14" s="160"/>
      <c r="IX14" s="160"/>
      <c r="IY14" s="160"/>
      <c r="IZ14" s="160"/>
      <c r="JA14" s="160"/>
      <c r="JB14" s="160"/>
      <c r="JC14" s="160"/>
      <c r="JD14" s="160"/>
      <c r="JE14" s="160"/>
      <c r="JF14" s="160"/>
      <c r="JG14" s="160"/>
      <c r="JH14" s="160"/>
      <c r="JI14" s="160"/>
      <c r="JJ14" s="160"/>
      <c r="JK14" s="160"/>
      <c r="JL14" s="160"/>
      <c r="JM14" s="160"/>
      <c r="JN14" s="160"/>
      <c r="JO14" s="160"/>
      <c r="JP14" s="160"/>
      <c r="JQ14" s="160"/>
      <c r="JR14" s="160"/>
      <c r="JS14" s="160"/>
      <c r="JT14" s="160"/>
      <c r="JU14" s="160"/>
      <c r="JV14" s="160"/>
      <c r="JW14" s="160"/>
      <c r="JX14" s="160"/>
      <c r="JY14" s="160"/>
      <c r="JZ14" s="160"/>
      <c r="KA14" s="160"/>
      <c r="KB14" s="160"/>
      <c r="KC14" s="160"/>
      <c r="KD14" s="160"/>
      <c r="KE14" s="160"/>
      <c r="KF14" s="160"/>
      <c r="KG14" s="160"/>
      <c r="KH14" s="160"/>
      <c r="KI14" s="160"/>
      <c r="KJ14" s="160"/>
      <c r="KK14" s="160"/>
      <c r="KL14" s="160"/>
      <c r="KM14" s="160"/>
      <c r="KN14" s="160"/>
      <c r="KO14" s="160"/>
      <c r="KP14" s="160"/>
      <c r="KQ14" s="160"/>
      <c r="KR14" s="160"/>
      <c r="KS14" s="160"/>
      <c r="KT14" s="160"/>
      <c r="KU14" s="160"/>
      <c r="KV14" s="160"/>
      <c r="KW14" s="160"/>
      <c r="KX14" s="160"/>
      <c r="KY14" s="160"/>
      <c r="KZ14" s="160"/>
      <c r="LA14" s="160"/>
      <c r="LB14" s="160"/>
      <c r="LC14" s="160"/>
      <c r="LD14" s="160"/>
      <c r="LE14" s="160"/>
      <c r="LF14" s="160"/>
      <c r="LG14" s="160"/>
      <c r="LH14" s="160"/>
      <c r="LI14" s="160"/>
      <c r="LJ14" s="160"/>
      <c r="LK14" s="160"/>
      <c r="LL14" s="160"/>
      <c r="LM14" s="160"/>
      <c r="LN14" s="160"/>
      <c r="LO14" s="160"/>
      <c r="LP14" s="160"/>
      <c r="LQ14" s="160"/>
      <c r="LR14" s="160"/>
      <c r="LS14" s="160"/>
      <c r="LT14" s="160"/>
      <c r="LU14" s="160"/>
      <c r="LV14" s="160"/>
      <c r="LW14" s="160"/>
      <c r="LX14" s="160"/>
      <c r="LY14" s="160"/>
      <c r="LZ14" s="160"/>
      <c r="MA14" s="160"/>
      <c r="MB14" s="160"/>
      <c r="MC14" s="160"/>
      <c r="MD14" s="160"/>
      <c r="ME14" s="160"/>
      <c r="MF14" s="160"/>
      <c r="MG14" s="160"/>
      <c r="MH14" s="160"/>
      <c r="MI14" s="160"/>
      <c r="MJ14" s="160"/>
      <c r="MK14" s="160"/>
      <c r="ML14" s="160"/>
      <c r="MM14" s="160"/>
      <c r="MN14" s="160"/>
      <c r="MO14" s="160"/>
      <c r="MP14" s="160"/>
      <c r="MQ14" s="160"/>
      <c r="MR14" s="160"/>
      <c r="MS14" s="160"/>
      <c r="MT14" s="160"/>
      <c r="MU14" s="160"/>
      <c r="MV14" s="160"/>
      <c r="MW14" s="160"/>
      <c r="MX14" s="160"/>
      <c r="MY14" s="160"/>
      <c r="MZ14" s="160"/>
      <c r="NA14" s="160"/>
      <c r="NB14" s="160"/>
      <c r="NC14" s="160"/>
      <c r="ND14" s="160"/>
      <c r="NE14" s="160"/>
      <c r="NF14" s="160"/>
      <c r="NG14" s="160"/>
      <c r="NH14" s="160"/>
      <c r="NI14" s="160"/>
      <c r="NJ14" s="160"/>
      <c r="NK14" s="160"/>
      <c r="NL14" s="160"/>
      <c r="NM14" s="160"/>
      <c r="NN14" s="160"/>
      <c r="NO14" s="160"/>
      <c r="NP14" s="160"/>
      <c r="NQ14" s="160"/>
      <c r="NR14" s="160"/>
      <c r="NS14" s="160"/>
      <c r="NT14" s="160"/>
      <c r="NU14" s="160"/>
      <c r="NV14" s="160"/>
      <c r="NW14" s="160"/>
      <c r="NX14" s="160"/>
      <c r="NY14" s="160"/>
      <c r="NZ14" s="160"/>
      <c r="OA14" s="160"/>
      <c r="OB14" s="160"/>
      <c r="OC14" s="160"/>
      <c r="OD14" s="160"/>
      <c r="OE14" s="160"/>
      <c r="OF14" s="160"/>
      <c r="OG14" s="160"/>
      <c r="OH14" s="160"/>
      <c r="OI14" s="160"/>
      <c r="OJ14" s="160"/>
      <c r="OK14" s="160"/>
      <c r="OL14" s="160"/>
      <c r="OM14" s="160"/>
      <c r="ON14" s="160"/>
      <c r="OO14" s="160"/>
      <c r="OP14" s="160"/>
      <c r="OQ14" s="160"/>
      <c r="OR14" s="160"/>
      <c r="OS14" s="160"/>
      <c r="OT14" s="160"/>
      <c r="OU14" s="160"/>
      <c r="OV14" s="160"/>
      <c r="OW14" s="160"/>
      <c r="OX14" s="160"/>
      <c r="OY14" s="160"/>
      <c r="OZ14" s="160"/>
      <c r="PA14" s="160"/>
      <c r="PB14" s="160"/>
      <c r="PC14" s="160"/>
      <c r="PD14" s="160"/>
      <c r="PE14" s="160"/>
      <c r="PF14" s="160"/>
      <c r="PG14" s="160"/>
      <c r="PH14" s="160"/>
      <c r="PI14" s="160"/>
      <c r="PJ14" s="160"/>
      <c r="PK14" s="160"/>
      <c r="PL14" s="160"/>
      <c r="PM14" s="160"/>
      <c r="PN14" s="160"/>
      <c r="PO14" s="160"/>
      <c r="PP14" s="160"/>
      <c r="PQ14" s="160"/>
      <c r="PR14" s="160"/>
      <c r="PS14" s="160"/>
      <c r="PT14" s="160"/>
      <c r="PU14" s="160"/>
      <c r="PV14" s="160"/>
      <c r="PW14" s="160"/>
      <c r="PX14" s="160"/>
      <c r="PY14" s="160"/>
      <c r="PZ14" s="160"/>
      <c r="QA14" s="160"/>
      <c r="QB14" s="160"/>
      <c r="QC14" s="160"/>
      <c r="QD14" s="160"/>
      <c r="QE14" s="160"/>
      <c r="QF14" s="160"/>
      <c r="QG14" s="160"/>
      <c r="QH14" s="160"/>
      <c r="QI14" s="160"/>
      <c r="QJ14" s="160"/>
      <c r="QK14" s="160"/>
      <c r="QL14" s="160"/>
      <c r="QM14" s="160"/>
      <c r="QN14" s="160"/>
      <c r="QO14" s="160"/>
      <c r="QP14" s="160"/>
      <c r="QQ14" s="160"/>
      <c r="QR14" s="160"/>
      <c r="QS14" s="160"/>
      <c r="QT14" s="160"/>
      <c r="QU14" s="160"/>
      <c r="QV14" s="160"/>
      <c r="QW14" s="160"/>
      <c r="QX14" s="160"/>
      <c r="QY14" s="160"/>
      <c r="QZ14" s="160"/>
      <c r="RA14" s="160"/>
      <c r="RB14" s="160"/>
      <c r="RC14" s="160"/>
      <c r="RD14" s="160"/>
      <c r="RE14" s="160"/>
      <c r="RF14" s="160"/>
      <c r="RG14" s="160"/>
      <c r="RH14" s="160"/>
      <c r="RI14" s="160"/>
      <c r="RJ14" s="160"/>
      <c r="RK14" s="160"/>
      <c r="RL14" s="160"/>
      <c r="RM14" s="160"/>
      <c r="RN14" s="160"/>
      <c r="RO14" s="160"/>
      <c r="RP14" s="160"/>
      <c r="RQ14" s="160"/>
      <c r="RR14" s="160"/>
      <c r="RS14" s="160"/>
      <c r="RT14" s="160"/>
      <c r="RU14" s="160"/>
      <c r="RV14" s="160"/>
      <c r="RW14" s="160"/>
      <c r="RX14" s="160"/>
      <c r="RY14" s="160"/>
      <c r="RZ14" s="160"/>
      <c r="SA14" s="160"/>
      <c r="SB14" s="160"/>
      <c r="SC14" s="160"/>
      <c r="SD14" s="160"/>
      <c r="SE14" s="160"/>
      <c r="SF14" s="160"/>
      <c r="SG14" s="160"/>
      <c r="SH14" s="160"/>
      <c r="SI14" s="160"/>
      <c r="SJ14" s="160"/>
      <c r="SK14" s="160"/>
      <c r="SL14" s="160"/>
      <c r="SM14" s="160"/>
      <c r="SN14" s="160"/>
      <c r="SO14" s="160"/>
      <c r="SP14" s="160"/>
      <c r="SQ14" s="160"/>
      <c r="SR14" s="160"/>
      <c r="SS14" s="160"/>
      <c r="ST14" s="160"/>
      <c r="SU14" s="160"/>
      <c r="SV14" s="160"/>
      <c r="SW14" s="160"/>
      <c r="SX14" s="160"/>
      <c r="SY14" s="160"/>
      <c r="SZ14" s="160"/>
      <c r="TA14" s="160"/>
      <c r="TB14" s="160"/>
      <c r="TC14" s="160"/>
      <c r="TD14" s="160"/>
      <c r="TE14" s="160"/>
      <c r="TF14" s="160"/>
      <c r="TG14" s="160"/>
      <c r="TH14" s="160"/>
      <c r="TI14" s="160"/>
      <c r="TJ14" s="160"/>
      <c r="TK14" s="160"/>
      <c r="TL14" s="160"/>
      <c r="TM14" s="160"/>
      <c r="TN14" s="160"/>
      <c r="TO14" s="160"/>
      <c r="TP14" s="160"/>
      <c r="TQ14" s="160"/>
      <c r="TR14" s="160"/>
      <c r="TS14" s="160"/>
      <c r="TT14" s="160"/>
      <c r="TU14" s="160"/>
      <c r="TV14" s="160"/>
      <c r="TW14" s="160"/>
      <c r="TX14" s="160"/>
      <c r="TY14" s="160"/>
      <c r="TZ14" s="160"/>
      <c r="UA14" s="160"/>
      <c r="UB14" s="160"/>
      <c r="UC14" s="160"/>
      <c r="UD14" s="160"/>
      <c r="UE14" s="160"/>
      <c r="UF14" s="160"/>
      <c r="UG14" s="160"/>
      <c r="UH14" s="160"/>
      <c r="UI14" s="160"/>
      <c r="UJ14" s="160"/>
      <c r="UK14" s="160"/>
      <c r="UL14" s="160"/>
      <c r="UM14" s="160"/>
      <c r="UN14" s="160"/>
      <c r="UO14" s="160"/>
      <c r="UP14" s="160"/>
      <c r="UQ14" s="160"/>
      <c r="UR14" s="160"/>
      <c r="US14" s="160"/>
      <c r="UT14" s="160"/>
      <c r="UU14" s="160"/>
      <c r="UV14" s="160"/>
      <c r="UW14" s="160"/>
      <c r="UX14" s="160"/>
      <c r="UY14" s="160"/>
      <c r="UZ14" s="160"/>
      <c r="VA14" s="160"/>
      <c r="VB14" s="160"/>
      <c r="VC14" s="160"/>
      <c r="VD14" s="160"/>
      <c r="VE14" s="160"/>
      <c r="VF14" s="160"/>
      <c r="VG14" s="160"/>
      <c r="VH14" s="160"/>
      <c r="VI14" s="160"/>
      <c r="VJ14" s="160"/>
      <c r="VK14" s="160"/>
      <c r="VL14" s="160"/>
      <c r="VM14" s="160"/>
      <c r="VN14" s="160"/>
      <c r="VO14" s="160"/>
      <c r="VP14" s="160"/>
      <c r="VQ14" s="160"/>
      <c r="VR14" s="160"/>
      <c r="VS14" s="160"/>
      <c r="VT14" s="160"/>
      <c r="VU14" s="160"/>
      <c r="VV14" s="160"/>
      <c r="VW14" s="160"/>
      <c r="VX14" s="160"/>
      <c r="VY14" s="160"/>
      <c r="VZ14" s="160"/>
      <c r="WA14" s="160"/>
      <c r="WB14" s="160"/>
      <c r="WC14" s="160"/>
      <c r="WD14" s="160"/>
      <c r="WE14" s="160"/>
      <c r="WF14" s="160"/>
      <c r="WG14" s="160"/>
      <c r="WH14" s="160"/>
      <c r="WI14" s="160"/>
      <c r="WJ14" s="160"/>
      <c r="WK14" s="160"/>
      <c r="WL14" s="160"/>
      <c r="WM14" s="160"/>
      <c r="WN14" s="160"/>
      <c r="WO14" s="160"/>
      <c r="WP14" s="160"/>
      <c r="WQ14" s="160"/>
      <c r="WR14" s="160"/>
      <c r="WS14" s="160"/>
      <c r="WT14" s="160"/>
      <c r="WU14" s="160"/>
      <c r="WV14" s="160"/>
      <c r="WW14" s="160"/>
      <c r="WX14" s="160"/>
      <c r="WY14" s="160"/>
      <c r="WZ14" s="160"/>
      <c r="XA14" s="160"/>
      <c r="XB14" s="160"/>
      <c r="XC14" s="160"/>
      <c r="XD14" s="160"/>
      <c r="XE14" s="160"/>
      <c r="XF14" s="160"/>
      <c r="XG14" s="160"/>
      <c r="XH14" s="160"/>
      <c r="XI14" s="160"/>
      <c r="XJ14" s="160"/>
      <c r="XK14" s="160"/>
      <c r="XL14" s="160"/>
      <c r="XM14" s="160"/>
      <c r="XN14" s="160"/>
      <c r="XO14" s="160"/>
      <c r="XP14" s="160"/>
      <c r="XQ14" s="160"/>
      <c r="XR14" s="160"/>
      <c r="XS14" s="160"/>
      <c r="XT14" s="160"/>
      <c r="XU14" s="160"/>
      <c r="XV14" s="160"/>
      <c r="XW14" s="160"/>
      <c r="XX14" s="160"/>
      <c r="XY14" s="160"/>
      <c r="XZ14" s="160"/>
      <c r="YA14" s="160"/>
      <c r="YB14" s="160"/>
      <c r="YC14" s="160"/>
      <c r="YD14" s="160"/>
      <c r="YE14" s="160"/>
      <c r="YF14" s="160"/>
      <c r="YG14" s="160"/>
      <c r="YH14" s="160"/>
      <c r="YI14" s="160"/>
      <c r="YJ14" s="160"/>
      <c r="YK14" s="160"/>
      <c r="YL14" s="160"/>
      <c r="YM14" s="160"/>
      <c r="YN14" s="160"/>
      <c r="YO14" s="160"/>
      <c r="YP14" s="160"/>
      <c r="YQ14" s="160"/>
      <c r="YR14" s="160"/>
      <c r="YS14" s="160"/>
      <c r="YT14" s="160"/>
      <c r="YU14" s="160"/>
      <c r="YV14" s="160"/>
      <c r="YW14" s="160"/>
      <c r="YX14" s="160"/>
      <c r="YY14" s="160"/>
      <c r="YZ14" s="160"/>
      <c r="ZA14" s="160"/>
      <c r="ZB14" s="160"/>
      <c r="ZC14" s="160"/>
      <c r="ZD14" s="160"/>
      <c r="ZE14" s="160"/>
      <c r="ZF14" s="160"/>
      <c r="ZG14" s="160"/>
      <c r="ZH14" s="160"/>
      <c r="ZI14" s="160"/>
      <c r="ZJ14" s="160"/>
      <c r="ZK14" s="160"/>
      <c r="ZL14" s="160"/>
      <c r="ZM14" s="160"/>
      <c r="ZN14" s="160"/>
      <c r="ZO14" s="160"/>
      <c r="ZP14" s="160"/>
      <c r="ZQ14" s="160"/>
      <c r="ZR14" s="160"/>
      <c r="ZS14" s="160"/>
      <c r="ZT14" s="160"/>
      <c r="ZU14" s="160"/>
      <c r="ZV14" s="160"/>
      <c r="ZW14" s="160"/>
      <c r="ZX14" s="160"/>
      <c r="ZY14" s="160"/>
      <c r="ZZ14" s="160"/>
      <c r="AAA14" s="160"/>
      <c r="AAB14" s="160"/>
      <c r="AAC14" s="160"/>
      <c r="AAD14" s="160"/>
      <c r="AAE14" s="160"/>
      <c r="AAF14" s="160"/>
      <c r="AAG14" s="160"/>
      <c r="AAH14" s="160"/>
      <c r="AAI14" s="160"/>
      <c r="AAJ14" s="160"/>
      <c r="AAK14" s="160"/>
      <c r="AAL14" s="160"/>
      <c r="AAM14" s="160"/>
      <c r="AAN14" s="160"/>
      <c r="AAO14" s="160"/>
      <c r="AAP14" s="160"/>
      <c r="AAQ14" s="160"/>
      <c r="AAR14" s="160"/>
      <c r="AAS14" s="160"/>
      <c r="AAT14" s="160"/>
      <c r="AAU14" s="160"/>
      <c r="AAV14" s="160"/>
      <c r="AAW14" s="160"/>
      <c r="AAX14" s="160"/>
      <c r="AAY14" s="160"/>
      <c r="AAZ14" s="160"/>
      <c r="ABA14" s="160"/>
      <c r="ABB14" s="160"/>
      <c r="ABC14" s="160"/>
      <c r="ABD14" s="160"/>
      <c r="ABE14" s="160"/>
      <c r="ABF14" s="160"/>
      <c r="ABG14" s="160"/>
      <c r="ABH14" s="160"/>
      <c r="ABI14" s="160"/>
      <c r="ABJ14" s="160"/>
      <c r="ABK14" s="160"/>
      <c r="ABL14" s="160"/>
      <c r="ABM14" s="160"/>
      <c r="ABN14" s="160"/>
      <c r="ABO14" s="160"/>
      <c r="ABP14" s="160"/>
      <c r="ABQ14" s="160"/>
      <c r="ABR14" s="160"/>
      <c r="ABS14" s="160"/>
      <c r="ABT14" s="160"/>
      <c r="ABU14" s="160"/>
      <c r="ABV14" s="160"/>
      <c r="ABW14" s="160"/>
      <c r="ABX14" s="160"/>
      <c r="ABY14" s="160"/>
      <c r="ABZ14" s="160"/>
      <c r="ACA14" s="160"/>
      <c r="ACB14" s="160"/>
      <c r="ACC14" s="160"/>
      <c r="ACD14" s="160"/>
      <c r="ACE14" s="160"/>
      <c r="ACF14" s="160"/>
      <c r="ACG14" s="160"/>
      <c r="ACH14" s="160"/>
      <c r="ACI14" s="160"/>
      <c r="ACJ14" s="160"/>
      <c r="ACK14" s="160"/>
      <c r="ACL14" s="160"/>
      <c r="ACM14" s="160"/>
      <c r="ACN14" s="160"/>
      <c r="ACO14" s="160"/>
      <c r="ACP14" s="160"/>
      <c r="ACQ14" s="160"/>
      <c r="ACR14" s="160"/>
      <c r="ACS14" s="160"/>
      <c r="ACT14" s="160"/>
      <c r="ACU14" s="160"/>
      <c r="ACV14" s="160"/>
      <c r="ACW14" s="160"/>
      <c r="ACX14" s="160"/>
      <c r="ACY14" s="160"/>
      <c r="ACZ14" s="160"/>
      <c r="ADA14" s="160"/>
      <c r="ADB14" s="160"/>
      <c r="ADC14" s="160"/>
      <c r="ADD14" s="160"/>
      <c r="ADE14" s="160"/>
      <c r="ADF14" s="160"/>
      <c r="ADG14" s="160"/>
      <c r="ADH14" s="160"/>
      <c r="ADI14" s="160"/>
      <c r="ADJ14" s="160"/>
      <c r="ADK14" s="160"/>
      <c r="ADL14" s="160"/>
      <c r="ADM14" s="160"/>
      <c r="ADN14" s="160"/>
      <c r="ADO14" s="160"/>
      <c r="ADP14" s="160"/>
      <c r="ADQ14" s="160"/>
      <c r="ADR14" s="160"/>
      <c r="ADS14" s="160"/>
      <c r="ADT14" s="160"/>
      <c r="ADU14" s="160"/>
      <c r="ADV14" s="160"/>
      <c r="ADW14" s="160"/>
      <c r="ADX14" s="160"/>
      <c r="ADY14" s="160"/>
      <c r="ADZ14" s="160"/>
      <c r="AEA14" s="160"/>
      <c r="AEB14" s="160"/>
      <c r="AEC14" s="160"/>
      <c r="AED14" s="160"/>
      <c r="AEE14" s="160"/>
      <c r="AEF14" s="160"/>
      <c r="AEG14" s="160"/>
      <c r="AEH14" s="160"/>
      <c r="AEI14" s="160"/>
      <c r="AEJ14" s="160"/>
      <c r="AEK14" s="160"/>
      <c r="AEL14" s="160"/>
      <c r="AEM14" s="160"/>
      <c r="AEN14" s="160"/>
      <c r="AEO14" s="160"/>
      <c r="AEP14" s="160"/>
      <c r="AEQ14" s="160"/>
      <c r="AER14" s="160"/>
      <c r="AES14" s="160"/>
      <c r="AET14" s="160"/>
      <c r="AEU14" s="160"/>
      <c r="AEV14" s="160"/>
      <c r="AEW14" s="160"/>
      <c r="AEX14" s="160"/>
      <c r="AEY14" s="160"/>
      <c r="AEZ14" s="160"/>
      <c r="AFA14" s="160"/>
      <c r="AFB14" s="160"/>
      <c r="AFC14" s="160"/>
      <c r="AFD14" s="160"/>
      <c r="AFE14" s="160"/>
      <c r="AFF14" s="160"/>
      <c r="AFG14" s="160"/>
      <c r="AFH14" s="160"/>
      <c r="AFI14" s="160"/>
      <c r="AFJ14" s="160"/>
      <c r="AFK14" s="160"/>
      <c r="AFL14" s="160"/>
      <c r="AFM14" s="160"/>
      <c r="AFN14" s="160"/>
      <c r="AFO14" s="160"/>
      <c r="AFP14" s="160"/>
      <c r="AFQ14" s="160"/>
      <c r="AFR14" s="160"/>
      <c r="AFS14" s="160"/>
      <c r="AFT14" s="160"/>
      <c r="AFU14" s="160"/>
      <c r="AFV14" s="160"/>
      <c r="AFW14" s="160"/>
      <c r="AFX14" s="160"/>
      <c r="AFY14" s="160"/>
      <c r="AFZ14" s="160"/>
      <c r="AGA14" s="160"/>
      <c r="AGB14" s="160"/>
      <c r="AGC14" s="160"/>
      <c r="AGD14" s="160"/>
      <c r="AGE14" s="160"/>
      <c r="AGF14" s="160"/>
      <c r="AGG14" s="160"/>
      <c r="AGH14" s="160"/>
      <c r="AGI14" s="160"/>
      <c r="AGJ14" s="160"/>
      <c r="AGK14" s="160"/>
      <c r="AGL14" s="160"/>
      <c r="AGM14" s="160"/>
      <c r="AGN14" s="160"/>
      <c r="AGO14" s="160"/>
      <c r="AGP14" s="160"/>
      <c r="AGQ14" s="160"/>
      <c r="AGR14" s="160"/>
      <c r="AGS14" s="160"/>
      <c r="AGT14" s="160"/>
      <c r="AGU14" s="160"/>
      <c r="AGV14" s="160"/>
      <c r="AGW14" s="160"/>
      <c r="AGX14" s="160"/>
      <c r="AGY14" s="160"/>
      <c r="AGZ14" s="160"/>
      <c r="AHA14" s="160"/>
      <c r="AHB14" s="160"/>
      <c r="AHC14" s="160"/>
      <c r="AHD14" s="160"/>
      <c r="AHE14" s="160"/>
      <c r="AHF14" s="160"/>
      <c r="AHG14" s="160"/>
      <c r="AHH14" s="160"/>
      <c r="AHI14" s="160"/>
      <c r="AHJ14" s="160"/>
      <c r="AHK14" s="160"/>
      <c r="AHL14" s="160"/>
      <c r="AHM14" s="160"/>
      <c r="AHN14" s="160"/>
      <c r="AHO14" s="160"/>
      <c r="AHP14" s="160"/>
      <c r="AHQ14" s="160"/>
      <c r="AHR14" s="160"/>
      <c r="AHS14" s="160"/>
      <c r="AHT14" s="160"/>
      <c r="AHU14" s="160"/>
      <c r="AHV14" s="160"/>
      <c r="AHW14" s="160"/>
      <c r="AHX14" s="160"/>
      <c r="AHY14" s="160"/>
      <c r="AHZ14" s="160"/>
      <c r="AIA14" s="160"/>
      <c r="AIB14" s="160"/>
      <c r="AIC14" s="160"/>
      <c r="AID14" s="160"/>
      <c r="AIE14" s="160"/>
      <c r="AIF14" s="160"/>
      <c r="AIG14" s="160"/>
      <c r="AIH14" s="160"/>
      <c r="AII14" s="160"/>
      <c r="AIJ14" s="160"/>
      <c r="AIK14" s="160"/>
      <c r="AIL14" s="160"/>
      <c r="AIM14" s="160"/>
      <c r="AIN14" s="160"/>
      <c r="AIO14" s="160"/>
      <c r="AIP14" s="160"/>
      <c r="AIQ14" s="160"/>
      <c r="AIR14" s="160"/>
      <c r="AIS14" s="160"/>
      <c r="AIT14" s="160"/>
      <c r="AIU14" s="160"/>
      <c r="AIV14" s="160"/>
      <c r="AIW14" s="160"/>
      <c r="AIX14" s="160"/>
      <c r="AIY14" s="160"/>
      <c r="AIZ14" s="160"/>
      <c r="AJA14" s="160"/>
      <c r="AJB14" s="160"/>
      <c r="AJC14" s="160"/>
      <c r="AJD14" s="160"/>
      <c r="AJE14" s="160"/>
      <c r="AJF14" s="160"/>
      <c r="AJG14" s="160"/>
      <c r="AJH14" s="160"/>
      <c r="AJI14" s="160"/>
      <c r="AJJ14" s="160"/>
      <c r="AJK14" s="160"/>
      <c r="AJL14" s="160"/>
      <c r="AJM14" s="160"/>
      <c r="AJN14" s="160"/>
      <c r="AJO14" s="160"/>
      <c r="AJP14" s="160"/>
      <c r="AJQ14" s="160"/>
      <c r="AJR14" s="160"/>
      <c r="AJS14" s="160"/>
      <c r="AJT14" s="160"/>
      <c r="AJU14" s="160"/>
      <c r="AJV14" s="160"/>
      <c r="AJW14" s="160"/>
      <c r="AJX14" s="160"/>
      <c r="AJY14" s="160"/>
      <c r="AJZ14" s="160"/>
      <c r="AKA14" s="160"/>
      <c r="AKB14" s="160"/>
      <c r="AKC14" s="160"/>
      <c r="AKD14" s="160"/>
      <c r="AKE14" s="160"/>
      <c r="AKF14" s="160"/>
      <c r="AKG14" s="160"/>
      <c r="AKH14" s="160"/>
      <c r="AKI14" s="160"/>
      <c r="AKJ14" s="160"/>
      <c r="AKK14" s="160"/>
      <c r="AKL14" s="160"/>
      <c r="AKM14" s="160"/>
      <c r="AKN14" s="160"/>
      <c r="AKO14" s="160"/>
      <c r="AKP14" s="160"/>
      <c r="AKQ14" s="160"/>
      <c r="AKR14" s="160"/>
      <c r="AKS14" s="160"/>
      <c r="AKT14" s="160"/>
      <c r="AKU14" s="160"/>
      <c r="AKV14" s="160"/>
      <c r="AKW14" s="160"/>
      <c r="AKX14" s="160"/>
      <c r="AKY14" s="160"/>
      <c r="AKZ14" s="160"/>
      <c r="ALA14" s="160"/>
      <c r="ALB14" s="160"/>
      <c r="ALC14" s="160"/>
      <c r="ALD14" s="160"/>
      <c r="ALE14" s="160"/>
      <c r="ALF14" s="160"/>
      <c r="ALG14" s="160"/>
      <c r="ALH14" s="160"/>
      <c r="ALI14" s="160"/>
      <c r="ALJ14" s="160"/>
      <c r="ALK14" s="160"/>
      <c r="ALL14" s="160"/>
      <c r="ALM14" s="160"/>
      <c r="ALN14" s="160"/>
      <c r="ALO14" s="160"/>
      <c r="ALP14" s="160"/>
      <c r="ALQ14" s="160"/>
      <c r="ALR14" s="160"/>
      <c r="ALS14" s="160"/>
      <c r="ALT14" s="160"/>
      <c r="ALU14" s="160"/>
      <c r="ALV14" s="160"/>
      <c r="ALW14" s="160"/>
      <c r="ALX14" s="160"/>
      <c r="ALY14" s="160"/>
      <c r="ALZ14" s="160"/>
      <c r="AMA14" s="160"/>
      <c r="AMB14" s="160"/>
      <c r="AMC14" s="160"/>
      <c r="AMD14" s="160"/>
      <c r="AME14" s="160"/>
      <c r="AMF14" s="160"/>
      <c r="AMG14" s="160"/>
      <c r="AMH14" s="160"/>
      <c r="AMI14" s="160"/>
      <c r="AMJ14" s="160"/>
      <c r="AMK14" s="160"/>
      <c r="AML14" s="160"/>
      <c r="AMM14" s="160"/>
      <c r="AMN14" s="160"/>
      <c r="AMO14" s="160"/>
      <c r="AMP14" s="160"/>
      <c r="AMQ14" s="160"/>
      <c r="AMR14" s="160"/>
      <c r="AMS14" s="160"/>
      <c r="AMT14" s="160"/>
      <c r="AMU14" s="160"/>
      <c r="AMV14" s="160"/>
      <c r="AMW14" s="160"/>
      <c r="AMX14" s="160"/>
      <c r="AMY14" s="160"/>
      <c r="AMZ14" s="160"/>
      <c r="ANA14" s="160"/>
      <c r="ANB14" s="160"/>
      <c r="ANC14" s="160"/>
      <c r="AND14" s="160"/>
      <c r="ANE14" s="160"/>
      <c r="ANF14" s="160"/>
      <c r="ANG14" s="160"/>
      <c r="ANH14" s="160"/>
      <c r="ANI14" s="160"/>
      <c r="ANJ14" s="160"/>
      <c r="ANK14" s="160"/>
      <c r="ANL14" s="160"/>
      <c r="ANM14" s="160"/>
      <c r="ANN14" s="160"/>
      <c r="ANO14" s="160"/>
      <c r="ANP14" s="160"/>
      <c r="ANQ14" s="160"/>
      <c r="ANR14" s="160"/>
      <c r="ANS14" s="160"/>
      <c r="ANT14" s="160"/>
      <c r="ANU14" s="160"/>
      <c r="ANV14" s="160"/>
      <c r="ANW14" s="160"/>
      <c r="ANX14" s="160"/>
      <c r="ANY14" s="160"/>
      <c r="ANZ14" s="160"/>
      <c r="AOA14" s="160"/>
      <c r="AOB14" s="160"/>
      <c r="AOC14" s="160"/>
      <c r="AOD14" s="160"/>
      <c r="AOE14" s="160"/>
      <c r="AOF14" s="160"/>
      <c r="AOG14" s="160"/>
      <c r="AOH14" s="160"/>
      <c r="AOI14" s="160"/>
      <c r="AOJ14" s="160"/>
      <c r="AOK14" s="160"/>
      <c r="AOL14" s="160"/>
      <c r="AOM14" s="160"/>
      <c r="AON14" s="160"/>
      <c r="AOO14" s="160"/>
      <c r="AOP14" s="160"/>
      <c r="AOQ14" s="160"/>
      <c r="AOR14" s="160"/>
      <c r="AOS14" s="160"/>
      <c r="AOT14" s="160"/>
      <c r="AOU14" s="160"/>
      <c r="AOV14" s="160"/>
      <c r="AOW14" s="160"/>
      <c r="AOX14" s="160"/>
      <c r="AOY14" s="160"/>
      <c r="AOZ14" s="160"/>
      <c r="APA14" s="160"/>
      <c r="APB14" s="160"/>
      <c r="APC14" s="160"/>
      <c r="APD14" s="160"/>
      <c r="APE14" s="160"/>
      <c r="APF14" s="160"/>
      <c r="APG14" s="160"/>
      <c r="APH14" s="160"/>
      <c r="API14" s="160"/>
      <c r="APJ14" s="160"/>
      <c r="APK14" s="160"/>
      <c r="APL14" s="160"/>
      <c r="APM14" s="160"/>
      <c r="APN14" s="160"/>
      <c r="APO14" s="160"/>
      <c r="APP14" s="160"/>
      <c r="APQ14" s="160"/>
      <c r="APR14" s="160"/>
      <c r="APS14" s="160"/>
      <c r="APT14" s="160"/>
      <c r="APU14" s="160"/>
      <c r="APV14" s="160"/>
      <c r="APW14" s="160"/>
      <c r="APX14" s="160"/>
      <c r="APY14" s="160"/>
      <c r="APZ14" s="160"/>
      <c r="AQA14" s="160"/>
      <c r="AQB14" s="160"/>
      <c r="AQC14" s="160"/>
      <c r="AQD14" s="160"/>
      <c r="AQE14" s="160"/>
      <c r="AQF14" s="160"/>
      <c r="AQG14" s="160"/>
      <c r="AQH14" s="160"/>
      <c r="AQI14" s="160"/>
      <c r="AQJ14" s="160"/>
      <c r="AQK14" s="160"/>
      <c r="AQL14" s="160"/>
      <c r="AQM14" s="160"/>
      <c r="AQN14" s="160"/>
      <c r="AQO14" s="160"/>
      <c r="AQP14" s="160"/>
      <c r="AQQ14" s="160"/>
      <c r="AQR14" s="160"/>
      <c r="AQS14" s="160"/>
      <c r="AQT14" s="160"/>
      <c r="AQU14" s="160"/>
      <c r="AQV14" s="160"/>
      <c r="AQW14" s="160"/>
      <c r="AQX14" s="160"/>
      <c r="AQY14" s="160"/>
      <c r="AQZ14" s="160"/>
      <c r="ARA14" s="160"/>
      <c r="ARB14" s="160"/>
      <c r="ARC14" s="160"/>
      <c r="ARD14" s="160"/>
      <c r="ARE14" s="160"/>
      <c r="ARF14" s="160"/>
      <c r="ARG14" s="160"/>
      <c r="ARH14" s="160"/>
      <c r="ARI14" s="160"/>
      <c r="ARJ14" s="160"/>
      <c r="ARK14" s="160"/>
      <c r="ARL14" s="160"/>
      <c r="ARM14" s="160"/>
      <c r="ARN14" s="160"/>
      <c r="ARO14" s="160"/>
      <c r="ARP14" s="160"/>
      <c r="ARQ14" s="160"/>
      <c r="ARR14" s="160"/>
      <c r="ARS14" s="160"/>
      <c r="ART14" s="160"/>
      <c r="ARU14" s="160"/>
      <c r="ARV14" s="160"/>
      <c r="ARW14" s="160"/>
      <c r="ARX14" s="160"/>
      <c r="ARY14" s="160"/>
      <c r="ARZ14" s="160"/>
      <c r="ASA14" s="160"/>
      <c r="ASB14" s="160"/>
      <c r="ASC14" s="160"/>
      <c r="ASD14" s="160"/>
      <c r="ASE14" s="160"/>
      <c r="ASF14" s="160"/>
      <c r="ASG14" s="160"/>
      <c r="ASH14" s="160"/>
      <c r="ASI14" s="160"/>
      <c r="ASJ14" s="160"/>
      <c r="ASK14" s="160"/>
      <c r="ASL14" s="160"/>
      <c r="ASM14" s="160"/>
      <c r="ASN14" s="160"/>
      <c r="ASO14" s="160"/>
      <c r="ASP14" s="160"/>
      <c r="ASQ14" s="160"/>
      <c r="ASR14" s="160"/>
      <c r="ASS14" s="160"/>
      <c r="AST14" s="160"/>
      <c r="ASU14" s="160"/>
      <c r="ASV14" s="160"/>
      <c r="ASW14" s="160"/>
      <c r="ASX14" s="160"/>
      <c r="ASY14" s="160"/>
      <c r="ASZ14" s="160"/>
      <c r="ATA14" s="160"/>
      <c r="ATB14" s="160"/>
      <c r="ATC14" s="160"/>
      <c r="ATD14" s="160"/>
      <c r="ATE14" s="160"/>
      <c r="ATF14" s="160"/>
      <c r="ATG14" s="160"/>
      <c r="ATH14" s="160"/>
      <c r="ATI14" s="160"/>
      <c r="ATJ14" s="160"/>
      <c r="ATK14" s="160"/>
      <c r="ATL14" s="160"/>
      <c r="ATM14" s="160"/>
      <c r="ATN14" s="160"/>
      <c r="ATO14" s="160"/>
      <c r="ATP14" s="160"/>
      <c r="ATQ14" s="160"/>
      <c r="ATR14" s="160"/>
      <c r="ATS14" s="160"/>
      <c r="ATT14" s="160"/>
      <c r="ATU14" s="160"/>
      <c r="ATV14" s="160"/>
      <c r="ATW14" s="160"/>
      <c r="ATX14" s="160"/>
      <c r="ATY14" s="160"/>
      <c r="ATZ14" s="160"/>
      <c r="AUA14" s="160"/>
      <c r="AUB14" s="160"/>
      <c r="AUC14" s="160"/>
      <c r="AUD14" s="160"/>
      <c r="AUE14" s="160"/>
      <c r="AUF14" s="160"/>
      <c r="AUG14" s="160"/>
      <c r="AUH14" s="160"/>
      <c r="AUI14" s="160"/>
      <c r="AUJ14" s="160"/>
      <c r="AUK14" s="160"/>
      <c r="AUL14" s="160"/>
      <c r="AUM14" s="160"/>
      <c r="AUN14" s="160"/>
      <c r="AUO14" s="160"/>
      <c r="AUP14" s="160"/>
      <c r="AUQ14" s="160"/>
      <c r="AUR14" s="160"/>
      <c r="AUS14" s="160"/>
      <c r="AUT14" s="160"/>
      <c r="AUU14" s="160"/>
      <c r="AUV14" s="160"/>
      <c r="AUW14" s="160"/>
      <c r="AUX14" s="160"/>
      <c r="AUY14" s="160"/>
      <c r="AUZ14" s="160"/>
      <c r="AVA14" s="160"/>
      <c r="AVB14" s="160"/>
      <c r="AVC14" s="160"/>
      <c r="AVD14" s="160"/>
      <c r="AVE14" s="160"/>
      <c r="AVF14" s="160"/>
      <c r="AVG14" s="160"/>
      <c r="AVH14" s="160"/>
      <c r="AVI14" s="160"/>
      <c r="AVJ14" s="160"/>
      <c r="AVK14" s="160"/>
      <c r="AVL14" s="160"/>
      <c r="AVM14" s="160"/>
      <c r="AVN14" s="160"/>
      <c r="AVO14" s="160"/>
      <c r="AVP14" s="160"/>
      <c r="AVQ14" s="160"/>
      <c r="AVR14" s="160"/>
      <c r="AVS14" s="160"/>
      <c r="AVT14" s="160"/>
      <c r="AVU14" s="160"/>
      <c r="AVV14" s="160"/>
      <c r="AVW14" s="160"/>
      <c r="AVX14" s="160"/>
      <c r="AVY14" s="160"/>
      <c r="AVZ14" s="160"/>
      <c r="AWA14" s="160"/>
      <c r="AWB14" s="160"/>
      <c r="AWC14" s="160"/>
      <c r="AWD14" s="160"/>
      <c r="AWE14" s="160"/>
      <c r="AWF14" s="160"/>
      <c r="AWG14" s="160"/>
      <c r="AWH14" s="160"/>
      <c r="AWI14" s="160"/>
      <c r="AWJ14" s="160"/>
      <c r="AWK14" s="160"/>
      <c r="AWL14" s="160"/>
      <c r="AWM14" s="160"/>
      <c r="AWN14" s="160"/>
      <c r="AWO14" s="160"/>
      <c r="AWP14" s="160"/>
      <c r="AWQ14" s="160"/>
      <c r="AWR14" s="160"/>
      <c r="AWS14" s="160"/>
      <c r="AWT14" s="160"/>
      <c r="AWU14" s="160"/>
      <c r="AWV14" s="160"/>
      <c r="AWW14" s="160"/>
      <c r="AWX14" s="160"/>
      <c r="AWY14" s="160"/>
      <c r="AWZ14" s="160"/>
      <c r="AXA14" s="160"/>
      <c r="AXB14" s="160"/>
      <c r="AXC14" s="160"/>
      <c r="AXD14" s="160"/>
      <c r="AXE14" s="160"/>
      <c r="AXF14" s="160"/>
      <c r="AXG14" s="160"/>
      <c r="AXH14" s="160"/>
      <c r="AXI14" s="160"/>
      <c r="AXJ14" s="160"/>
      <c r="AXK14" s="160"/>
      <c r="AXL14" s="160"/>
      <c r="AXM14" s="160"/>
      <c r="AXN14" s="160"/>
      <c r="AXO14" s="160"/>
      <c r="AXP14" s="160"/>
      <c r="AXQ14" s="160"/>
      <c r="AXR14" s="160"/>
      <c r="AXS14" s="160"/>
      <c r="AXT14" s="160"/>
      <c r="AXU14" s="160"/>
      <c r="AXV14" s="160"/>
      <c r="AXW14" s="160"/>
      <c r="AXX14" s="160"/>
      <c r="AXY14" s="160"/>
      <c r="AXZ14" s="160"/>
      <c r="AYA14" s="160"/>
      <c r="AYB14" s="160"/>
      <c r="AYC14" s="160"/>
      <c r="AYD14" s="160"/>
      <c r="AYE14" s="160"/>
      <c r="AYF14" s="160"/>
      <c r="AYG14" s="160"/>
      <c r="AYH14" s="160"/>
      <c r="AYI14" s="160"/>
      <c r="AYJ14" s="160"/>
      <c r="AYK14" s="160"/>
      <c r="AYL14" s="160"/>
      <c r="AYM14" s="160"/>
      <c r="AYN14" s="160"/>
      <c r="AYO14" s="160"/>
      <c r="AYP14" s="160"/>
      <c r="AYQ14" s="160"/>
      <c r="AYR14" s="160"/>
      <c r="AYS14" s="160"/>
      <c r="AYT14" s="160"/>
      <c r="AYU14" s="160"/>
      <c r="AYV14" s="160"/>
      <c r="AYW14" s="160"/>
      <c r="AYX14" s="160"/>
      <c r="AYY14" s="160"/>
      <c r="AYZ14" s="160"/>
      <c r="AZA14" s="160"/>
      <c r="AZB14" s="160"/>
      <c r="AZC14" s="160"/>
      <c r="AZD14" s="160"/>
      <c r="AZE14" s="160"/>
      <c r="AZF14" s="160"/>
      <c r="AZG14" s="160"/>
      <c r="AZH14" s="160"/>
      <c r="AZI14" s="160"/>
      <c r="AZJ14" s="160"/>
      <c r="AZK14" s="160"/>
      <c r="AZL14" s="160"/>
      <c r="AZM14" s="160"/>
      <c r="AZN14" s="160"/>
      <c r="AZO14" s="160"/>
      <c r="AZP14" s="160"/>
      <c r="AZQ14" s="160"/>
      <c r="AZR14" s="160"/>
      <c r="AZS14" s="160"/>
      <c r="AZT14" s="160"/>
      <c r="AZU14" s="160"/>
      <c r="AZV14" s="160"/>
      <c r="AZW14" s="160"/>
      <c r="AZX14" s="160"/>
      <c r="AZY14" s="160"/>
      <c r="AZZ14" s="160"/>
      <c r="BAA14" s="160"/>
      <c r="BAB14" s="160"/>
      <c r="BAC14" s="160"/>
      <c r="BAD14" s="160"/>
      <c r="BAE14" s="160"/>
      <c r="BAF14" s="160"/>
      <c r="BAG14" s="160"/>
      <c r="BAH14" s="160"/>
      <c r="BAI14" s="160"/>
      <c r="BAJ14" s="160"/>
      <c r="BAK14" s="160"/>
      <c r="BAL14" s="160"/>
      <c r="BAM14" s="160"/>
      <c r="BAN14" s="160"/>
      <c r="BAO14" s="160"/>
      <c r="BAP14" s="160"/>
      <c r="BAQ14" s="160"/>
      <c r="BAR14" s="160"/>
      <c r="BAS14" s="160"/>
      <c r="BAT14" s="160"/>
      <c r="BAU14" s="160"/>
      <c r="BAV14" s="160"/>
      <c r="BAW14" s="160"/>
      <c r="BAX14" s="160"/>
      <c r="BAY14" s="160"/>
      <c r="BAZ14" s="160"/>
      <c r="BBA14" s="160"/>
      <c r="BBB14" s="160"/>
      <c r="BBC14" s="160"/>
      <c r="BBD14" s="160"/>
      <c r="BBE14" s="160"/>
      <c r="BBF14" s="160"/>
      <c r="BBG14" s="160"/>
      <c r="BBH14" s="160"/>
      <c r="BBI14" s="160"/>
      <c r="BBJ14" s="160"/>
      <c r="BBK14" s="160"/>
      <c r="BBL14" s="160"/>
      <c r="BBM14" s="160"/>
      <c r="BBN14" s="160"/>
      <c r="BBO14" s="160"/>
      <c r="BBP14" s="160"/>
      <c r="BBQ14" s="160"/>
      <c r="BBR14" s="160"/>
      <c r="BBS14" s="160"/>
      <c r="BBT14" s="160"/>
      <c r="BBU14" s="160"/>
      <c r="BBV14" s="160"/>
      <c r="BBW14" s="160"/>
      <c r="BBX14" s="160"/>
      <c r="BBY14" s="160"/>
      <c r="BBZ14" s="160"/>
      <c r="BCA14" s="160"/>
      <c r="BCB14" s="160"/>
      <c r="BCC14" s="160"/>
      <c r="BCD14" s="160"/>
      <c r="BCE14" s="160"/>
      <c r="BCF14" s="160"/>
      <c r="BCG14" s="160"/>
      <c r="BCH14" s="160"/>
      <c r="BCI14" s="160"/>
      <c r="BCJ14" s="160"/>
      <c r="BCK14" s="160"/>
      <c r="BCL14" s="160"/>
      <c r="BCM14" s="160"/>
      <c r="BCN14" s="160"/>
      <c r="BCO14" s="160"/>
      <c r="BCP14" s="160"/>
      <c r="BCQ14" s="160"/>
      <c r="BCR14" s="160"/>
      <c r="BCS14" s="160"/>
      <c r="BCT14" s="160"/>
      <c r="BCU14" s="160"/>
      <c r="BCV14" s="160"/>
      <c r="BCW14" s="160"/>
      <c r="BCX14" s="160"/>
      <c r="BCY14" s="160"/>
      <c r="BCZ14" s="160"/>
      <c r="BDA14" s="160"/>
      <c r="BDB14" s="160"/>
      <c r="BDC14" s="160"/>
      <c r="BDD14" s="160"/>
      <c r="BDE14" s="160"/>
      <c r="BDF14" s="160"/>
      <c r="BDG14" s="160"/>
      <c r="BDH14" s="160"/>
      <c r="BDI14" s="160"/>
      <c r="BDJ14" s="160"/>
      <c r="BDK14" s="160"/>
      <c r="BDL14" s="160"/>
      <c r="BDM14" s="160"/>
      <c r="BDN14" s="160"/>
      <c r="BDO14" s="160"/>
      <c r="BDP14" s="160"/>
      <c r="BDQ14" s="160"/>
      <c r="BDR14" s="160"/>
      <c r="BDS14" s="160"/>
      <c r="BDT14" s="160"/>
      <c r="BDU14" s="160"/>
      <c r="BDV14" s="160"/>
      <c r="BDW14" s="160"/>
      <c r="BDX14" s="160"/>
      <c r="BDY14" s="160"/>
      <c r="BDZ14" s="160"/>
      <c r="BEA14" s="160"/>
      <c r="BEB14" s="160"/>
      <c r="BEC14" s="160"/>
      <c r="BED14" s="160"/>
      <c r="BEE14" s="160"/>
      <c r="BEF14" s="160"/>
      <c r="BEG14" s="160"/>
      <c r="BEH14" s="160"/>
      <c r="BEI14" s="160"/>
      <c r="BEJ14" s="160"/>
      <c r="BEK14" s="160"/>
      <c r="BEL14" s="160"/>
      <c r="BEM14" s="160"/>
      <c r="BEN14" s="160"/>
      <c r="BEO14" s="160"/>
      <c r="BEP14" s="160"/>
      <c r="BEQ14" s="160"/>
      <c r="BER14" s="160"/>
      <c r="BES14" s="160"/>
      <c r="BET14" s="160"/>
      <c r="BEU14" s="160"/>
      <c r="BEV14" s="160"/>
      <c r="BEW14" s="160"/>
      <c r="BEX14" s="160"/>
      <c r="BEY14" s="160"/>
      <c r="BEZ14" s="160"/>
      <c r="BFA14" s="160"/>
      <c r="BFB14" s="160"/>
      <c r="BFC14" s="160"/>
      <c r="BFD14" s="160"/>
      <c r="BFE14" s="160"/>
      <c r="BFF14" s="160"/>
      <c r="BFG14" s="160"/>
      <c r="BFH14" s="160"/>
      <c r="BFI14" s="160"/>
      <c r="BFJ14" s="160"/>
      <c r="BFK14" s="160"/>
      <c r="BFL14" s="160"/>
      <c r="BFM14" s="160"/>
      <c r="BFN14" s="160"/>
      <c r="BFO14" s="160"/>
      <c r="BFP14" s="160"/>
      <c r="BFQ14" s="160"/>
      <c r="BFR14" s="160"/>
      <c r="BFS14" s="160"/>
      <c r="BFT14" s="160"/>
      <c r="BFU14" s="160"/>
      <c r="BFV14" s="160"/>
      <c r="BFW14" s="160"/>
      <c r="BFX14" s="160"/>
      <c r="BFY14" s="160"/>
      <c r="BFZ14" s="160"/>
      <c r="BGA14" s="160"/>
      <c r="BGB14" s="160"/>
      <c r="BGC14" s="160"/>
      <c r="BGD14" s="160"/>
      <c r="BGE14" s="160"/>
      <c r="BGF14" s="160"/>
      <c r="BGG14" s="160"/>
      <c r="BGH14" s="160"/>
      <c r="BGI14" s="160"/>
      <c r="BGJ14" s="160"/>
      <c r="BGK14" s="160"/>
      <c r="BGL14" s="160"/>
      <c r="BGM14" s="160"/>
      <c r="BGN14" s="160"/>
      <c r="BGO14" s="160"/>
      <c r="BGP14" s="160"/>
      <c r="BGQ14" s="160"/>
      <c r="BGR14" s="160"/>
      <c r="BGS14" s="160"/>
      <c r="BGT14" s="160"/>
      <c r="BGU14" s="160"/>
      <c r="BGV14" s="160"/>
      <c r="BGW14" s="160"/>
      <c r="BGX14" s="160"/>
      <c r="BGY14" s="160"/>
      <c r="BGZ14" s="160"/>
      <c r="BHA14" s="160"/>
      <c r="BHB14" s="160"/>
      <c r="BHC14" s="160"/>
      <c r="BHD14" s="160"/>
      <c r="BHE14" s="160"/>
      <c r="BHF14" s="160"/>
      <c r="BHG14" s="160"/>
      <c r="BHH14" s="160"/>
      <c r="BHI14" s="160"/>
      <c r="BHJ14" s="160"/>
      <c r="BHK14" s="160"/>
      <c r="BHL14" s="160"/>
      <c r="BHM14" s="160"/>
      <c r="BHN14" s="160"/>
      <c r="BHO14" s="160"/>
      <c r="BHP14" s="160"/>
      <c r="BHQ14" s="160"/>
      <c r="BHR14" s="160"/>
      <c r="BHS14" s="160"/>
      <c r="BHT14" s="160"/>
      <c r="BHU14" s="160"/>
      <c r="BHV14" s="160"/>
      <c r="BHW14" s="160"/>
      <c r="BHX14" s="160"/>
      <c r="BHY14" s="160"/>
      <c r="BHZ14" s="160"/>
      <c r="BIA14" s="160"/>
      <c r="BIB14" s="160"/>
      <c r="BIC14" s="160"/>
      <c r="BID14" s="160"/>
      <c r="BIE14" s="160"/>
      <c r="BIF14" s="160"/>
      <c r="BIG14" s="160"/>
      <c r="BIH14" s="160"/>
      <c r="BII14" s="160"/>
      <c r="BIJ14" s="160"/>
      <c r="BIK14" s="160"/>
      <c r="BIL14" s="160"/>
      <c r="BIM14" s="160"/>
      <c r="BIN14" s="160"/>
      <c r="BIO14" s="160"/>
      <c r="BIP14" s="160"/>
      <c r="BIQ14" s="160"/>
      <c r="BIR14" s="160"/>
      <c r="BIS14" s="160"/>
      <c r="BIT14" s="160"/>
      <c r="BIU14" s="160"/>
      <c r="BIV14" s="160"/>
      <c r="BIW14" s="160"/>
      <c r="BIX14" s="160"/>
      <c r="BIY14" s="160"/>
      <c r="BIZ14" s="160"/>
      <c r="BJA14" s="160"/>
      <c r="BJB14" s="160"/>
      <c r="BJC14" s="160"/>
      <c r="BJD14" s="160"/>
      <c r="BJE14" s="160"/>
      <c r="BJF14" s="160"/>
      <c r="BJG14" s="160"/>
      <c r="BJH14" s="160"/>
      <c r="BJI14" s="160"/>
      <c r="BJJ14" s="160"/>
      <c r="BJK14" s="160"/>
      <c r="BJL14" s="160"/>
      <c r="BJM14" s="160"/>
      <c r="BJN14" s="160"/>
      <c r="BJO14" s="160"/>
      <c r="BJP14" s="160"/>
      <c r="BJQ14" s="160"/>
      <c r="BJR14" s="160"/>
      <c r="BJS14" s="160"/>
      <c r="BJT14" s="160"/>
      <c r="BJU14" s="160"/>
      <c r="BJV14" s="160"/>
      <c r="BJW14" s="160"/>
      <c r="BJX14" s="160"/>
      <c r="BJY14" s="160"/>
      <c r="BJZ14" s="160"/>
      <c r="BKA14" s="160"/>
      <c r="BKB14" s="160"/>
      <c r="BKC14" s="160"/>
      <c r="BKD14" s="160"/>
      <c r="BKE14" s="160"/>
      <c r="BKF14" s="160"/>
      <c r="BKG14" s="160"/>
      <c r="BKH14" s="160"/>
      <c r="BKI14" s="160"/>
      <c r="BKJ14" s="160"/>
      <c r="BKK14" s="160"/>
      <c r="BKL14" s="160"/>
      <c r="BKM14" s="160"/>
      <c r="BKN14" s="160"/>
      <c r="BKO14" s="160"/>
      <c r="BKP14" s="160"/>
      <c r="BKQ14" s="160"/>
      <c r="BKR14" s="160"/>
      <c r="BKS14" s="160"/>
      <c r="BKT14" s="160"/>
      <c r="BKU14" s="160"/>
      <c r="BKV14" s="160"/>
      <c r="BKW14" s="160"/>
      <c r="BKX14" s="160"/>
      <c r="BKY14" s="160"/>
      <c r="BKZ14" s="160"/>
      <c r="BLA14" s="160"/>
      <c r="BLB14" s="160"/>
      <c r="BLC14" s="160"/>
      <c r="BLD14" s="160"/>
      <c r="BLE14" s="160"/>
      <c r="BLF14" s="160"/>
      <c r="BLG14" s="160"/>
      <c r="BLH14" s="160"/>
      <c r="BLI14" s="160"/>
      <c r="BLJ14" s="160"/>
      <c r="BLK14" s="160"/>
      <c r="BLL14" s="160"/>
      <c r="BLM14" s="160"/>
      <c r="BLN14" s="160"/>
      <c r="BLO14" s="160"/>
      <c r="BLP14" s="160"/>
      <c r="BLQ14" s="160"/>
      <c r="BLR14" s="160"/>
      <c r="BLS14" s="160"/>
      <c r="BLT14" s="160"/>
      <c r="BLU14" s="160"/>
      <c r="BLV14" s="160"/>
      <c r="BLW14" s="160"/>
      <c r="BLX14" s="160"/>
      <c r="BLY14" s="160"/>
      <c r="BLZ14" s="160"/>
      <c r="BMA14" s="160"/>
      <c r="BMB14" s="160"/>
      <c r="BMC14" s="160"/>
      <c r="BMD14" s="160"/>
      <c r="BME14" s="160"/>
      <c r="BMF14" s="160"/>
      <c r="BMG14" s="160"/>
      <c r="BMH14" s="160"/>
      <c r="BMI14" s="160"/>
      <c r="BMJ14" s="160"/>
      <c r="BMK14" s="160"/>
      <c r="BML14" s="160"/>
      <c r="BMM14" s="160"/>
      <c r="BMN14" s="160"/>
      <c r="BMO14" s="160"/>
      <c r="BMP14" s="160"/>
      <c r="BMQ14" s="160"/>
      <c r="BMR14" s="160"/>
      <c r="BMS14" s="160"/>
      <c r="BMT14" s="160"/>
      <c r="BMU14" s="160"/>
      <c r="BMV14" s="160"/>
      <c r="BMW14" s="160"/>
      <c r="BMX14" s="160"/>
      <c r="BMY14" s="160"/>
      <c r="BMZ14" s="160"/>
      <c r="BNA14" s="160"/>
      <c r="BNB14" s="160"/>
      <c r="BNC14" s="160"/>
      <c r="BND14" s="160"/>
      <c r="BNE14" s="160"/>
      <c r="BNF14" s="160"/>
      <c r="BNG14" s="160"/>
      <c r="BNH14" s="160"/>
      <c r="BNI14" s="160"/>
      <c r="BNJ14" s="160"/>
      <c r="BNK14" s="160"/>
      <c r="BNL14" s="160"/>
      <c r="BNM14" s="160"/>
      <c r="BNN14" s="160"/>
      <c r="BNO14" s="160"/>
      <c r="BNP14" s="160"/>
      <c r="BNQ14" s="160"/>
      <c r="BNR14" s="160"/>
      <c r="BNS14" s="160"/>
      <c r="BNT14" s="160"/>
      <c r="BNU14" s="160"/>
      <c r="BNV14" s="160"/>
      <c r="BNW14" s="160"/>
      <c r="BNX14" s="160"/>
      <c r="BNY14" s="160"/>
      <c r="BNZ14" s="160"/>
      <c r="BOA14" s="160"/>
      <c r="BOB14" s="160"/>
      <c r="BOC14" s="160"/>
      <c r="BOD14" s="160"/>
      <c r="BOE14" s="160"/>
      <c r="BOF14" s="160"/>
      <c r="BOG14" s="160"/>
      <c r="BOH14" s="160"/>
      <c r="BOI14" s="160"/>
      <c r="BOJ14" s="160"/>
      <c r="BOK14" s="160"/>
      <c r="BOL14" s="160"/>
      <c r="BOM14" s="160"/>
      <c r="BON14" s="160"/>
      <c r="BOO14" s="160"/>
      <c r="BOP14" s="160"/>
      <c r="BOQ14" s="160"/>
      <c r="BOR14" s="160"/>
      <c r="BOS14" s="160"/>
      <c r="BOT14" s="160"/>
      <c r="BOU14" s="160"/>
      <c r="BOV14" s="160"/>
      <c r="BOW14" s="160"/>
      <c r="BOX14" s="160"/>
      <c r="BOY14" s="160"/>
      <c r="BOZ14" s="160"/>
      <c r="BPA14" s="160"/>
      <c r="BPB14" s="160"/>
      <c r="BPC14" s="160"/>
      <c r="BPD14" s="160"/>
      <c r="BPE14" s="160"/>
      <c r="BPF14" s="160"/>
      <c r="BPG14" s="160"/>
      <c r="BPH14" s="160"/>
      <c r="BPI14" s="160"/>
      <c r="BPJ14" s="160"/>
      <c r="BPK14" s="160"/>
      <c r="BPL14" s="160"/>
      <c r="BPM14" s="160"/>
      <c r="BPN14" s="160"/>
      <c r="BPO14" s="160"/>
      <c r="BPP14" s="160"/>
      <c r="BPQ14" s="160"/>
      <c r="BPR14" s="160"/>
      <c r="BPS14" s="160"/>
      <c r="BPT14" s="160"/>
      <c r="BPU14" s="160"/>
      <c r="BPV14" s="160"/>
      <c r="BPW14" s="160"/>
      <c r="BPX14" s="160"/>
      <c r="BPY14" s="160"/>
      <c r="BPZ14" s="160"/>
      <c r="BQA14" s="160"/>
      <c r="BQB14" s="160"/>
      <c r="BQC14" s="160"/>
      <c r="BQD14" s="160"/>
      <c r="BQE14" s="160"/>
      <c r="BQF14" s="160"/>
      <c r="BQG14" s="160"/>
      <c r="BQH14" s="160"/>
      <c r="BQI14" s="160"/>
      <c r="BQJ14" s="160"/>
      <c r="BQK14" s="160"/>
      <c r="BQL14" s="160"/>
      <c r="BQM14" s="160"/>
      <c r="BQN14" s="160"/>
      <c r="BQO14" s="160"/>
      <c r="BQP14" s="160"/>
      <c r="BQQ14" s="160"/>
      <c r="BQR14" s="160"/>
      <c r="BQS14" s="160"/>
      <c r="BQT14" s="160"/>
      <c r="BQU14" s="160"/>
      <c r="BQV14" s="160"/>
      <c r="BQW14" s="160"/>
      <c r="BQX14" s="160"/>
      <c r="BQY14" s="160"/>
      <c r="BQZ14" s="160"/>
      <c r="BRA14" s="160"/>
      <c r="BRB14" s="160"/>
      <c r="BRC14" s="160"/>
      <c r="BRD14" s="160"/>
      <c r="BRE14" s="160"/>
      <c r="BRF14" s="160"/>
      <c r="BRG14" s="160"/>
      <c r="BRH14" s="160"/>
      <c r="BRI14" s="160"/>
      <c r="BRJ14" s="160"/>
      <c r="BRK14" s="160"/>
      <c r="BRL14" s="160"/>
      <c r="BRM14" s="160"/>
      <c r="BRN14" s="160"/>
      <c r="BRO14" s="160"/>
      <c r="BRP14" s="160"/>
      <c r="BRQ14" s="160"/>
      <c r="BRR14" s="160"/>
      <c r="BRS14" s="160"/>
      <c r="BRT14" s="160"/>
      <c r="BRU14" s="160"/>
      <c r="BRV14" s="160"/>
      <c r="BRW14" s="160"/>
      <c r="BRX14" s="160"/>
      <c r="BRY14" s="160"/>
      <c r="BRZ14" s="160"/>
      <c r="BSA14" s="160"/>
      <c r="BSB14" s="160"/>
      <c r="BSC14" s="160"/>
      <c r="BSD14" s="160"/>
      <c r="BSE14" s="160"/>
      <c r="BSF14" s="160"/>
      <c r="BSG14" s="160"/>
      <c r="BSH14" s="160"/>
      <c r="BSI14" s="160"/>
      <c r="BSJ14" s="160"/>
      <c r="BSK14" s="160"/>
      <c r="BSL14" s="160"/>
      <c r="BSM14" s="160"/>
      <c r="BSN14" s="160"/>
      <c r="BSO14" s="160"/>
      <c r="BSP14" s="160"/>
      <c r="BSQ14" s="160"/>
      <c r="BSR14" s="160"/>
      <c r="BSS14" s="160"/>
      <c r="BST14" s="160"/>
      <c r="BSU14" s="160"/>
      <c r="BSV14" s="160"/>
      <c r="BSW14" s="160"/>
      <c r="BSX14" s="160"/>
      <c r="BSY14" s="160"/>
      <c r="BSZ14" s="160"/>
      <c r="BTA14" s="160"/>
      <c r="BTB14" s="160"/>
      <c r="BTC14" s="160"/>
      <c r="BTD14" s="160"/>
      <c r="BTE14" s="160"/>
      <c r="BTF14" s="160"/>
      <c r="BTG14" s="160"/>
      <c r="BTH14" s="160"/>
      <c r="BTI14" s="160"/>
      <c r="BTJ14" s="160"/>
      <c r="BTK14" s="160"/>
      <c r="BTL14" s="160"/>
      <c r="BTM14" s="160"/>
      <c r="BTN14" s="160"/>
      <c r="BTO14" s="160"/>
      <c r="BTP14" s="160"/>
      <c r="BTQ14" s="160"/>
      <c r="BTR14" s="160"/>
      <c r="BTS14" s="160"/>
      <c r="BTT14" s="160"/>
      <c r="BTU14" s="160"/>
      <c r="BTV14" s="160"/>
      <c r="BTW14" s="160"/>
      <c r="BTX14" s="160"/>
      <c r="BTY14" s="160"/>
      <c r="BTZ14" s="160"/>
      <c r="BUA14" s="160"/>
      <c r="BUB14" s="160"/>
      <c r="BUC14" s="160"/>
      <c r="BUD14" s="160"/>
      <c r="BUE14" s="160"/>
      <c r="BUF14" s="160"/>
      <c r="BUG14" s="160"/>
      <c r="BUH14" s="160"/>
      <c r="BUI14" s="160"/>
      <c r="BUJ14" s="160"/>
      <c r="BUK14" s="160"/>
      <c r="BUL14" s="160"/>
      <c r="BUM14" s="160"/>
      <c r="BUN14" s="160"/>
      <c r="BUO14" s="160"/>
      <c r="BUP14" s="160"/>
      <c r="BUQ14" s="160"/>
      <c r="BUR14" s="160"/>
      <c r="BUS14" s="160"/>
      <c r="BUT14" s="160"/>
      <c r="BUU14" s="160"/>
      <c r="BUV14" s="160"/>
      <c r="BUW14" s="160"/>
      <c r="BUX14" s="160"/>
      <c r="BUY14" s="160"/>
      <c r="BUZ14" s="160"/>
      <c r="BVA14" s="160"/>
      <c r="BVB14" s="160"/>
      <c r="BVC14" s="160"/>
      <c r="BVD14" s="160"/>
      <c r="BVE14" s="160"/>
      <c r="BVF14" s="160"/>
      <c r="BVG14" s="160"/>
      <c r="BVH14" s="160"/>
      <c r="BVI14" s="160"/>
      <c r="BVJ14" s="160"/>
      <c r="BVK14" s="160"/>
      <c r="BVL14" s="160"/>
      <c r="BVM14" s="160"/>
      <c r="BVN14" s="160"/>
      <c r="BVO14" s="160"/>
      <c r="BVP14" s="160"/>
      <c r="BVQ14" s="160"/>
      <c r="BVR14" s="160"/>
      <c r="BVS14" s="160"/>
      <c r="BVT14" s="160"/>
      <c r="BVU14" s="160"/>
      <c r="BVV14" s="160"/>
      <c r="BVW14" s="160"/>
      <c r="BVX14" s="160"/>
      <c r="BVY14" s="160"/>
      <c r="BVZ14" s="160"/>
      <c r="BWA14" s="160"/>
      <c r="BWB14" s="160"/>
      <c r="BWC14" s="160"/>
      <c r="BWD14" s="160"/>
      <c r="BWE14" s="160"/>
      <c r="BWF14" s="160"/>
      <c r="BWG14" s="160"/>
      <c r="BWH14" s="160"/>
      <c r="BWI14" s="160"/>
      <c r="BWJ14" s="160"/>
      <c r="BWK14" s="160"/>
      <c r="BWL14" s="160"/>
      <c r="BWM14" s="160"/>
      <c r="BWN14" s="160"/>
      <c r="BWO14" s="160"/>
      <c r="BWP14" s="160"/>
      <c r="BWQ14" s="160"/>
      <c r="BWR14" s="160"/>
      <c r="BWS14" s="160"/>
      <c r="BWT14" s="160"/>
      <c r="BWU14" s="160"/>
      <c r="BWV14" s="160"/>
      <c r="BWW14" s="160"/>
      <c r="BWX14" s="160"/>
      <c r="BWY14" s="160"/>
      <c r="BWZ14" s="160"/>
      <c r="BXA14" s="160"/>
      <c r="BXB14" s="160"/>
      <c r="BXC14" s="160"/>
      <c r="BXD14" s="160"/>
      <c r="BXE14" s="160"/>
      <c r="BXF14" s="160"/>
      <c r="BXG14" s="160"/>
      <c r="BXH14" s="160"/>
      <c r="BXI14" s="160"/>
      <c r="BXJ14" s="160"/>
      <c r="BXK14" s="160"/>
      <c r="BXL14" s="160"/>
      <c r="BXM14" s="160"/>
      <c r="BXN14" s="160"/>
      <c r="BXO14" s="160"/>
      <c r="BXP14" s="160"/>
      <c r="BXQ14" s="160"/>
      <c r="BXR14" s="160"/>
      <c r="BXS14" s="160"/>
      <c r="BXT14" s="160"/>
      <c r="BXU14" s="160"/>
      <c r="BXV14" s="160"/>
      <c r="BXW14" s="160"/>
      <c r="BXX14" s="160"/>
      <c r="BXY14" s="160"/>
      <c r="BXZ14" s="160"/>
      <c r="BYA14" s="160"/>
      <c r="BYB14" s="160"/>
      <c r="BYC14" s="160"/>
      <c r="BYD14" s="160"/>
      <c r="BYE14" s="160"/>
      <c r="BYF14" s="160"/>
      <c r="BYG14" s="160"/>
    </row>
    <row r="15" spans="1:2009" s="3" customFormat="1" ht="12.75" customHeight="1" thickBot="1" x14ac:dyDescent="0.3">
      <c r="A15" s="72"/>
      <c r="B15" s="72"/>
      <c r="C15" s="136"/>
      <c r="D15" s="136"/>
      <c r="E15" s="136"/>
      <c r="F15" s="136"/>
      <c r="G15" s="511"/>
      <c r="I15" s="26"/>
    </row>
    <row r="16" spans="1:2009" s="75" customFormat="1" ht="24.95" hidden="1" customHeight="1" x14ac:dyDescent="0.25">
      <c r="A16" s="100" t="s">
        <v>67</v>
      </c>
      <c r="B16" s="101"/>
      <c r="C16" s="138"/>
      <c r="D16" s="138"/>
      <c r="E16" s="139"/>
      <c r="F16" s="139"/>
      <c r="G16" s="512"/>
      <c r="H16"/>
      <c r="I16" s="21"/>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c r="BOL16"/>
      <c r="BOM16"/>
      <c r="BON16"/>
      <c r="BOO16"/>
      <c r="BOP16"/>
      <c r="BOQ16"/>
      <c r="BOR16"/>
      <c r="BOS16"/>
      <c r="BOT16"/>
      <c r="BOU16"/>
      <c r="BOV16"/>
      <c r="BOW16"/>
      <c r="BOX16"/>
      <c r="BOY16"/>
      <c r="BOZ16"/>
      <c r="BPA16"/>
      <c r="BPB16"/>
      <c r="BPC16"/>
      <c r="BPD16"/>
      <c r="BPE16"/>
      <c r="BPF16"/>
      <c r="BPG16"/>
      <c r="BPH16"/>
      <c r="BPI16"/>
      <c r="BPJ16"/>
      <c r="BPK16"/>
      <c r="BPL16"/>
      <c r="BPM16"/>
      <c r="BPN16"/>
      <c r="BPO16"/>
      <c r="BPP16"/>
      <c r="BPQ16"/>
      <c r="BPR16"/>
      <c r="BPS16"/>
      <c r="BPT16"/>
      <c r="BPU16"/>
      <c r="BPV16"/>
      <c r="BPW16"/>
      <c r="BPX16"/>
      <c r="BPY16"/>
      <c r="BPZ16"/>
      <c r="BQA16"/>
      <c r="BQB16"/>
      <c r="BQC16"/>
      <c r="BQD16"/>
      <c r="BQE16"/>
      <c r="BQF16"/>
      <c r="BQG16"/>
      <c r="BQH16"/>
      <c r="BQI16"/>
      <c r="BQJ16"/>
      <c r="BQK16"/>
      <c r="BQL16"/>
      <c r="BQM16"/>
      <c r="BQN16"/>
      <c r="BQO16"/>
      <c r="BQP16"/>
      <c r="BQQ16"/>
      <c r="BQR16"/>
      <c r="BQS16"/>
      <c r="BQT16"/>
      <c r="BQU16"/>
      <c r="BQV16"/>
      <c r="BQW16"/>
      <c r="BQX16"/>
      <c r="BQY16"/>
      <c r="BQZ16"/>
      <c r="BRA16"/>
      <c r="BRB16"/>
      <c r="BRC16"/>
      <c r="BRD16"/>
      <c r="BRE16"/>
      <c r="BRF16"/>
      <c r="BRG16"/>
      <c r="BRH16"/>
      <c r="BRI16"/>
      <c r="BRJ16"/>
      <c r="BRK16"/>
      <c r="BRL16"/>
      <c r="BRM16"/>
      <c r="BRN16"/>
      <c r="BRO16"/>
      <c r="BRP16"/>
      <c r="BRQ16"/>
      <c r="BRR16"/>
      <c r="BRS16"/>
      <c r="BRT16"/>
      <c r="BRU16"/>
      <c r="BRV16"/>
      <c r="BRW16"/>
      <c r="BRX16"/>
      <c r="BRY16"/>
      <c r="BRZ16"/>
      <c r="BSA16"/>
      <c r="BSB16"/>
      <c r="BSC16"/>
      <c r="BSD16"/>
      <c r="BSE16"/>
      <c r="BSF16"/>
      <c r="BSG16"/>
      <c r="BSH16"/>
      <c r="BSI16"/>
      <c r="BSJ16"/>
      <c r="BSK16"/>
      <c r="BSL16"/>
      <c r="BSM16"/>
      <c r="BSN16"/>
      <c r="BSO16"/>
      <c r="BSP16"/>
      <c r="BSQ16"/>
      <c r="BSR16"/>
      <c r="BSS16"/>
      <c r="BST16"/>
      <c r="BSU16"/>
      <c r="BSV16"/>
      <c r="BSW16"/>
      <c r="BSX16"/>
      <c r="BSY16"/>
      <c r="BSZ16"/>
      <c r="BTA16"/>
      <c r="BTB16"/>
      <c r="BTC16"/>
      <c r="BTD16"/>
      <c r="BTE16"/>
      <c r="BTF16"/>
      <c r="BTG16"/>
      <c r="BTH16"/>
      <c r="BTI16"/>
      <c r="BTJ16"/>
      <c r="BTK16"/>
      <c r="BTL16"/>
      <c r="BTM16"/>
      <c r="BTN16"/>
      <c r="BTO16"/>
      <c r="BTP16"/>
      <c r="BTQ16"/>
      <c r="BTR16"/>
      <c r="BTS16"/>
      <c r="BTT16"/>
      <c r="BTU16"/>
      <c r="BTV16"/>
      <c r="BTW16"/>
      <c r="BTX16"/>
      <c r="BTY16"/>
      <c r="BTZ16"/>
      <c r="BUA16"/>
      <c r="BUB16"/>
      <c r="BUC16"/>
      <c r="BUD16"/>
      <c r="BUE16"/>
      <c r="BUF16"/>
      <c r="BUG16"/>
      <c r="BUH16"/>
      <c r="BUI16"/>
      <c r="BUJ16"/>
      <c r="BUK16"/>
      <c r="BUL16"/>
      <c r="BUM16"/>
      <c r="BUN16"/>
      <c r="BUO16"/>
      <c r="BUP16"/>
      <c r="BUQ16"/>
      <c r="BUR16"/>
      <c r="BUS16"/>
      <c r="BUT16"/>
      <c r="BUU16"/>
      <c r="BUV16"/>
      <c r="BUW16"/>
      <c r="BUX16"/>
      <c r="BUY16"/>
      <c r="BUZ16"/>
      <c r="BVA16"/>
      <c r="BVB16"/>
      <c r="BVC16"/>
      <c r="BVD16"/>
      <c r="BVE16"/>
      <c r="BVF16"/>
      <c r="BVG16"/>
      <c r="BVH16"/>
      <c r="BVI16"/>
      <c r="BVJ16"/>
      <c r="BVK16"/>
      <c r="BVL16"/>
      <c r="BVM16"/>
      <c r="BVN16"/>
      <c r="BVO16"/>
      <c r="BVP16"/>
      <c r="BVQ16"/>
      <c r="BVR16"/>
      <c r="BVS16"/>
      <c r="BVT16"/>
      <c r="BVU16"/>
      <c r="BVV16"/>
      <c r="BVW16"/>
      <c r="BVX16"/>
      <c r="BVY16"/>
      <c r="BVZ16"/>
      <c r="BWA16"/>
      <c r="BWB16"/>
      <c r="BWC16"/>
      <c r="BWD16"/>
      <c r="BWE16"/>
      <c r="BWF16"/>
      <c r="BWG16"/>
      <c r="BWH16"/>
      <c r="BWI16"/>
      <c r="BWJ16"/>
      <c r="BWK16"/>
      <c r="BWL16"/>
      <c r="BWM16"/>
      <c r="BWN16"/>
      <c r="BWO16"/>
      <c r="BWP16"/>
      <c r="BWQ16"/>
      <c r="BWR16"/>
      <c r="BWS16"/>
      <c r="BWT16"/>
      <c r="BWU16"/>
      <c r="BWV16"/>
      <c r="BWW16"/>
      <c r="BWX16"/>
      <c r="BWY16"/>
      <c r="BWZ16"/>
      <c r="BXA16"/>
      <c r="BXB16"/>
      <c r="BXC16"/>
      <c r="BXD16"/>
      <c r="BXE16"/>
      <c r="BXF16"/>
      <c r="BXG16"/>
      <c r="BXH16"/>
      <c r="BXI16"/>
      <c r="BXJ16"/>
      <c r="BXK16"/>
      <c r="BXL16"/>
      <c r="BXM16"/>
      <c r="BXN16"/>
      <c r="BXO16"/>
      <c r="BXP16"/>
      <c r="BXQ16"/>
      <c r="BXR16"/>
      <c r="BXS16"/>
      <c r="BXT16"/>
      <c r="BXU16"/>
      <c r="BXV16"/>
      <c r="BXW16"/>
      <c r="BXX16"/>
      <c r="BXY16"/>
      <c r="BXZ16"/>
      <c r="BYA16"/>
      <c r="BYB16"/>
      <c r="BYC16"/>
      <c r="BYD16"/>
      <c r="BYE16"/>
      <c r="BYF16"/>
      <c r="BYG16"/>
    </row>
    <row r="17" spans="1:2009" s="75" customFormat="1" ht="24.95" hidden="1" customHeight="1" x14ac:dyDescent="0.25">
      <c r="A17" s="102"/>
      <c r="B17" s="76" t="s">
        <v>196</v>
      </c>
      <c r="C17" s="140"/>
      <c r="D17" s="140"/>
      <c r="E17" s="141"/>
      <c r="F17" s="141"/>
      <c r="G17" s="513">
        <f t="shared" ref="G17:G20" si="0">ROUND(SUM(C17:F17),5)</f>
        <v>0</v>
      </c>
      <c r="H17"/>
      <c r="I17" s="21"/>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row>
    <row r="18" spans="1:2009" s="75" customFormat="1" ht="24.95" hidden="1" customHeight="1" x14ac:dyDescent="0.25">
      <c r="A18" s="102"/>
      <c r="B18" s="76" t="s">
        <v>265</v>
      </c>
      <c r="C18" s="140"/>
      <c r="D18" s="140"/>
      <c r="E18" s="141"/>
      <c r="F18" s="141"/>
      <c r="G18" s="513">
        <f t="shared" si="0"/>
        <v>0</v>
      </c>
      <c r="H18"/>
      <c r="I18" s="21"/>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QI18"/>
      <c r="BQJ18"/>
      <c r="BQK18"/>
      <c r="BQL18"/>
      <c r="BQM18"/>
      <c r="BQN18"/>
      <c r="BQO18"/>
      <c r="BQP18"/>
      <c r="BQQ18"/>
      <c r="BQR18"/>
      <c r="BQS18"/>
      <c r="BQT18"/>
      <c r="BQU18"/>
      <c r="BQV18"/>
      <c r="BQW18"/>
      <c r="BQX18"/>
      <c r="BQY18"/>
      <c r="BQZ18"/>
      <c r="BRA18"/>
      <c r="BRB18"/>
      <c r="BRC18"/>
      <c r="BRD18"/>
      <c r="BRE18"/>
      <c r="BRF18"/>
      <c r="BRG18"/>
      <c r="BRH18"/>
      <c r="BRI18"/>
      <c r="BRJ18"/>
      <c r="BRK18"/>
      <c r="BRL18"/>
      <c r="BRM18"/>
      <c r="BRN18"/>
      <c r="BRO18"/>
      <c r="BRP18"/>
      <c r="BRQ18"/>
      <c r="BRR18"/>
      <c r="BRS18"/>
      <c r="BRT18"/>
      <c r="BRU18"/>
      <c r="BRV18"/>
      <c r="BRW18"/>
      <c r="BRX18"/>
      <c r="BRY18"/>
      <c r="BRZ18"/>
      <c r="BSA18"/>
      <c r="BSB18"/>
      <c r="BSC18"/>
      <c r="BSD18"/>
      <c r="BSE18"/>
      <c r="BSF18"/>
      <c r="BSG18"/>
      <c r="BSH18"/>
      <c r="BSI18"/>
      <c r="BSJ18"/>
      <c r="BSK18"/>
      <c r="BSL18"/>
      <c r="BSM18"/>
      <c r="BSN18"/>
      <c r="BSO18"/>
      <c r="BSP18"/>
      <c r="BSQ18"/>
      <c r="BSR18"/>
      <c r="BSS18"/>
      <c r="BST18"/>
      <c r="BSU18"/>
      <c r="BSV18"/>
      <c r="BSW18"/>
      <c r="BSX18"/>
      <c r="BSY18"/>
      <c r="BSZ18"/>
      <c r="BTA18"/>
      <c r="BTB18"/>
      <c r="BTC18"/>
      <c r="BTD18"/>
      <c r="BTE18"/>
      <c r="BTF18"/>
      <c r="BTG18"/>
      <c r="BTH18"/>
      <c r="BTI18"/>
      <c r="BTJ18"/>
      <c r="BTK18"/>
      <c r="BTL18"/>
      <c r="BTM18"/>
      <c r="BTN18"/>
      <c r="BTO18"/>
      <c r="BTP18"/>
      <c r="BTQ18"/>
      <c r="BTR18"/>
      <c r="BTS18"/>
      <c r="BTT18"/>
      <c r="BTU18"/>
      <c r="BTV18"/>
      <c r="BTW18"/>
      <c r="BTX18"/>
      <c r="BTY18"/>
      <c r="BTZ18"/>
      <c r="BUA18"/>
      <c r="BUB18"/>
      <c r="BUC18"/>
      <c r="BUD18"/>
      <c r="BUE18"/>
      <c r="BUF18"/>
      <c r="BUG18"/>
      <c r="BUH18"/>
      <c r="BUI18"/>
      <c r="BUJ18"/>
      <c r="BUK18"/>
      <c r="BUL18"/>
      <c r="BUM18"/>
      <c r="BUN18"/>
      <c r="BUO18"/>
      <c r="BUP18"/>
      <c r="BUQ18"/>
      <c r="BUR18"/>
      <c r="BUS18"/>
      <c r="BUT18"/>
      <c r="BUU18"/>
      <c r="BUV18"/>
      <c r="BUW18"/>
      <c r="BUX18"/>
      <c r="BUY18"/>
      <c r="BUZ18"/>
      <c r="BVA18"/>
      <c r="BVB18"/>
      <c r="BVC18"/>
      <c r="BVD18"/>
      <c r="BVE18"/>
      <c r="BVF18"/>
      <c r="BVG18"/>
      <c r="BVH18"/>
      <c r="BVI18"/>
      <c r="BVJ18"/>
      <c r="BVK18"/>
      <c r="BVL18"/>
      <c r="BVM18"/>
      <c r="BVN18"/>
      <c r="BVO18"/>
      <c r="BVP18"/>
      <c r="BVQ18"/>
      <c r="BVR18"/>
      <c r="BVS18"/>
      <c r="BVT18"/>
      <c r="BVU18"/>
      <c r="BVV18"/>
      <c r="BVW18"/>
      <c r="BVX18"/>
      <c r="BVY18"/>
      <c r="BVZ18"/>
      <c r="BWA18"/>
      <c r="BWB18"/>
      <c r="BWC18"/>
      <c r="BWD18"/>
      <c r="BWE18"/>
      <c r="BWF18"/>
      <c r="BWG18"/>
      <c r="BWH18"/>
      <c r="BWI18"/>
      <c r="BWJ18"/>
      <c r="BWK18"/>
      <c r="BWL18"/>
      <c r="BWM18"/>
      <c r="BWN18"/>
      <c r="BWO18"/>
      <c r="BWP18"/>
      <c r="BWQ18"/>
      <c r="BWR18"/>
      <c r="BWS18"/>
      <c r="BWT18"/>
      <c r="BWU18"/>
      <c r="BWV18"/>
      <c r="BWW18"/>
      <c r="BWX18"/>
      <c r="BWY18"/>
      <c r="BWZ18"/>
      <c r="BXA18"/>
      <c r="BXB18"/>
      <c r="BXC18"/>
      <c r="BXD18"/>
      <c r="BXE18"/>
      <c r="BXF18"/>
      <c r="BXG18"/>
      <c r="BXH18"/>
      <c r="BXI18"/>
      <c r="BXJ18"/>
      <c r="BXK18"/>
      <c r="BXL18"/>
      <c r="BXM18"/>
      <c r="BXN18"/>
      <c r="BXO18"/>
      <c r="BXP18"/>
      <c r="BXQ18"/>
      <c r="BXR18"/>
      <c r="BXS18"/>
      <c r="BXT18"/>
      <c r="BXU18"/>
      <c r="BXV18"/>
      <c r="BXW18"/>
      <c r="BXX18"/>
      <c r="BXY18"/>
      <c r="BXZ18"/>
      <c r="BYA18"/>
      <c r="BYB18"/>
      <c r="BYC18"/>
      <c r="BYD18"/>
      <c r="BYE18"/>
      <c r="BYF18"/>
      <c r="BYG18"/>
    </row>
    <row r="19" spans="1:2009" s="75" customFormat="1" ht="24.95" hidden="1" customHeight="1" x14ac:dyDescent="0.25">
      <c r="A19" s="102"/>
      <c r="B19" s="76" t="s">
        <v>306</v>
      </c>
      <c r="C19" s="140"/>
      <c r="D19" s="140"/>
      <c r="E19" s="141"/>
      <c r="F19" s="141"/>
      <c r="G19" s="513"/>
      <c r="H19"/>
      <c r="I19" s="21"/>
      <c r="J19"/>
      <c r="K19" s="258"/>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c r="AML19"/>
      <c r="AMM19"/>
      <c r="AMN19"/>
      <c r="AMO19"/>
      <c r="AMP19"/>
      <c r="AMQ19"/>
      <c r="AMR19"/>
      <c r="AMS19"/>
      <c r="AMT19"/>
      <c r="AMU19"/>
      <c r="AMV19"/>
      <c r="AMW19"/>
      <c r="AMX19"/>
      <c r="AMY19"/>
      <c r="AMZ19"/>
      <c r="ANA19"/>
      <c r="ANB19"/>
      <c r="ANC19"/>
      <c r="AND19"/>
      <c r="ANE19"/>
      <c r="ANF19"/>
      <c r="ANG19"/>
      <c r="ANH19"/>
      <c r="ANI19"/>
      <c r="ANJ19"/>
      <c r="ANK19"/>
      <c r="ANL19"/>
      <c r="ANM19"/>
      <c r="ANN19"/>
      <c r="ANO19"/>
      <c r="ANP19"/>
      <c r="ANQ19"/>
      <c r="ANR19"/>
      <c r="ANS19"/>
      <c r="ANT19"/>
      <c r="ANU19"/>
      <c r="ANV19"/>
      <c r="ANW19"/>
      <c r="ANX19"/>
      <c r="ANY19"/>
      <c r="ANZ19"/>
      <c r="AOA19"/>
      <c r="AOB19"/>
      <c r="AOC19"/>
      <c r="AOD19"/>
      <c r="AOE19"/>
      <c r="AOF19"/>
      <c r="AOG19"/>
      <c r="AOH19"/>
      <c r="AOI19"/>
      <c r="AOJ19"/>
      <c r="AOK19"/>
      <c r="AOL19"/>
      <c r="AOM19"/>
      <c r="AON19"/>
      <c r="AOO19"/>
      <c r="AOP19"/>
      <c r="AOQ19"/>
      <c r="AOR19"/>
      <c r="AOS19"/>
      <c r="AOT19"/>
      <c r="AOU19"/>
      <c r="AOV19"/>
      <c r="AOW19"/>
      <c r="AOX19"/>
      <c r="AOY19"/>
      <c r="AOZ19"/>
      <c r="APA19"/>
      <c r="APB19"/>
      <c r="APC19"/>
      <c r="APD19"/>
      <c r="APE19"/>
      <c r="APF19"/>
      <c r="APG19"/>
      <c r="APH19"/>
      <c r="API19"/>
      <c r="APJ19"/>
      <c r="APK19"/>
      <c r="APL19"/>
      <c r="APM19"/>
      <c r="APN19"/>
      <c r="APO19"/>
      <c r="APP19"/>
      <c r="APQ19"/>
      <c r="APR19"/>
      <c r="APS19"/>
      <c r="APT19"/>
      <c r="APU19"/>
      <c r="APV19"/>
      <c r="APW19"/>
      <c r="APX19"/>
      <c r="APY19"/>
      <c r="APZ19"/>
      <c r="AQA19"/>
      <c r="AQB19"/>
      <c r="AQC19"/>
      <c r="AQD19"/>
      <c r="AQE19"/>
      <c r="AQF19"/>
      <c r="AQG19"/>
      <c r="AQH19"/>
      <c r="AQI19"/>
      <c r="AQJ19"/>
      <c r="AQK19"/>
      <c r="AQL19"/>
      <c r="AQM19"/>
      <c r="AQN19"/>
      <c r="AQO19"/>
      <c r="AQP19"/>
      <c r="AQQ19"/>
      <c r="AQR19"/>
      <c r="AQS19"/>
      <c r="AQT19"/>
      <c r="AQU19"/>
      <c r="AQV19"/>
      <c r="AQW19"/>
      <c r="AQX19"/>
      <c r="AQY19"/>
      <c r="AQZ19"/>
      <c r="ARA19"/>
      <c r="ARB19"/>
      <c r="ARC19"/>
      <c r="ARD19"/>
      <c r="ARE19"/>
      <c r="ARF19"/>
      <c r="ARG19"/>
      <c r="ARH19"/>
      <c r="ARI19"/>
      <c r="ARJ19"/>
      <c r="ARK19"/>
      <c r="ARL19"/>
      <c r="ARM19"/>
      <c r="ARN19"/>
      <c r="ARO19"/>
      <c r="ARP19"/>
      <c r="ARQ19"/>
      <c r="ARR19"/>
      <c r="ARS19"/>
      <c r="ART19"/>
      <c r="ARU19"/>
      <c r="ARV19"/>
      <c r="ARW19"/>
      <c r="ARX19"/>
      <c r="ARY19"/>
      <c r="ARZ19"/>
      <c r="ASA19"/>
      <c r="ASB19"/>
      <c r="ASC19"/>
      <c r="ASD19"/>
      <c r="ASE19"/>
      <c r="ASF19"/>
      <c r="ASG19"/>
      <c r="ASH19"/>
      <c r="ASI19"/>
      <c r="ASJ19"/>
      <c r="ASK19"/>
      <c r="ASL19"/>
      <c r="ASM19"/>
      <c r="ASN19"/>
      <c r="ASO19"/>
      <c r="ASP19"/>
      <c r="ASQ19"/>
      <c r="ASR19"/>
      <c r="ASS19"/>
      <c r="AST19"/>
      <c r="ASU19"/>
      <c r="ASV19"/>
      <c r="ASW19"/>
      <c r="ASX19"/>
      <c r="ASY19"/>
      <c r="ASZ19"/>
      <c r="ATA19"/>
      <c r="ATB19"/>
      <c r="ATC19"/>
      <c r="ATD19"/>
      <c r="ATE19"/>
      <c r="ATF19"/>
      <c r="ATG19"/>
      <c r="ATH19"/>
      <c r="ATI19"/>
      <c r="ATJ19"/>
      <c r="ATK19"/>
      <c r="ATL19"/>
      <c r="ATM19"/>
      <c r="ATN19"/>
      <c r="ATO19"/>
      <c r="ATP19"/>
      <c r="ATQ19"/>
      <c r="ATR19"/>
      <c r="ATS19"/>
      <c r="ATT19"/>
      <c r="ATU19"/>
      <c r="ATV19"/>
      <c r="ATW19"/>
      <c r="ATX19"/>
      <c r="ATY19"/>
      <c r="ATZ19"/>
      <c r="AUA19"/>
      <c r="AUB19"/>
      <c r="AUC19"/>
      <c r="AUD19"/>
      <c r="AUE19"/>
      <c r="AUF19"/>
      <c r="AUG19"/>
      <c r="AUH19"/>
      <c r="AUI19"/>
      <c r="AUJ19"/>
      <c r="AUK19"/>
      <c r="AUL19"/>
      <c r="AUM19"/>
      <c r="AUN19"/>
      <c r="AUO19"/>
      <c r="AUP19"/>
      <c r="AUQ19"/>
      <c r="AUR19"/>
      <c r="AUS19"/>
      <c r="AUT19"/>
      <c r="AUU19"/>
      <c r="AUV19"/>
      <c r="AUW19"/>
      <c r="AUX19"/>
      <c r="AUY19"/>
      <c r="AUZ19"/>
      <c r="AVA19"/>
      <c r="AVB19"/>
      <c r="AVC19"/>
      <c r="AVD19"/>
      <c r="AVE19"/>
      <c r="AVF19"/>
      <c r="AVG19"/>
      <c r="AVH19"/>
      <c r="AVI19"/>
      <c r="AVJ19"/>
      <c r="AVK19"/>
      <c r="AVL19"/>
      <c r="AVM19"/>
      <c r="AVN19"/>
      <c r="AVO19"/>
      <c r="AVP19"/>
      <c r="AVQ19"/>
      <c r="AVR19"/>
      <c r="AVS19"/>
      <c r="AVT19"/>
      <c r="AVU19"/>
      <c r="AVV19"/>
      <c r="AVW19"/>
      <c r="AVX19"/>
      <c r="AVY19"/>
      <c r="AVZ19"/>
      <c r="AWA19"/>
      <c r="AWB19"/>
      <c r="AWC19"/>
      <c r="AWD19"/>
      <c r="AWE19"/>
      <c r="AWF19"/>
      <c r="AWG19"/>
      <c r="AWH19"/>
      <c r="AWI19"/>
      <c r="AWJ19"/>
      <c r="AWK19"/>
      <c r="AWL19"/>
      <c r="AWM19"/>
      <c r="AWN19"/>
      <c r="AWO19"/>
      <c r="AWP19"/>
      <c r="AWQ19"/>
      <c r="AWR19"/>
      <c r="AWS19"/>
      <c r="AWT19"/>
      <c r="AWU19"/>
      <c r="AWV19"/>
      <c r="AWW19"/>
      <c r="AWX19"/>
      <c r="AWY19"/>
      <c r="AWZ19"/>
      <c r="AXA19"/>
      <c r="AXB19"/>
      <c r="AXC19"/>
      <c r="AXD19"/>
      <c r="AXE19"/>
      <c r="AXF19"/>
      <c r="AXG19"/>
      <c r="AXH19"/>
      <c r="AXI19"/>
      <c r="AXJ19"/>
      <c r="AXK19"/>
      <c r="AXL19"/>
      <c r="AXM19"/>
      <c r="AXN19"/>
      <c r="AXO19"/>
      <c r="AXP19"/>
      <c r="AXQ19"/>
      <c r="AXR19"/>
      <c r="AXS19"/>
      <c r="AXT19"/>
      <c r="AXU19"/>
      <c r="AXV19"/>
      <c r="AXW19"/>
      <c r="AXX19"/>
      <c r="AXY19"/>
      <c r="AXZ19"/>
      <c r="AYA19"/>
      <c r="AYB19"/>
      <c r="AYC19"/>
      <c r="AYD19"/>
      <c r="AYE19"/>
      <c r="AYF19"/>
      <c r="AYG19"/>
      <c r="AYH19"/>
      <c r="AYI19"/>
      <c r="AYJ19"/>
      <c r="AYK19"/>
      <c r="AYL19"/>
      <c r="AYM19"/>
      <c r="AYN19"/>
      <c r="AYO19"/>
      <c r="AYP19"/>
      <c r="AYQ19"/>
      <c r="AYR19"/>
      <c r="AYS19"/>
      <c r="AYT19"/>
      <c r="AYU19"/>
      <c r="AYV19"/>
      <c r="AYW19"/>
      <c r="AYX19"/>
      <c r="AYY19"/>
      <c r="AYZ19"/>
      <c r="AZA19"/>
      <c r="AZB19"/>
      <c r="AZC19"/>
      <c r="AZD19"/>
      <c r="AZE19"/>
      <c r="AZF19"/>
      <c r="AZG19"/>
      <c r="AZH19"/>
      <c r="AZI19"/>
      <c r="AZJ19"/>
      <c r="AZK19"/>
      <c r="AZL19"/>
      <c r="AZM19"/>
      <c r="AZN19"/>
      <c r="AZO19"/>
      <c r="AZP19"/>
      <c r="AZQ19"/>
      <c r="AZR19"/>
      <c r="AZS19"/>
      <c r="AZT19"/>
      <c r="AZU19"/>
      <c r="AZV19"/>
      <c r="AZW19"/>
      <c r="AZX19"/>
      <c r="AZY19"/>
      <c r="AZZ19"/>
      <c r="BAA19"/>
      <c r="BAB19"/>
      <c r="BAC19"/>
      <c r="BAD19"/>
      <c r="BAE19"/>
      <c r="BAF19"/>
      <c r="BAG19"/>
      <c r="BAH19"/>
      <c r="BAI19"/>
      <c r="BAJ19"/>
      <c r="BAK19"/>
      <c r="BAL19"/>
      <c r="BAM19"/>
      <c r="BAN19"/>
      <c r="BAO19"/>
      <c r="BAP19"/>
      <c r="BAQ19"/>
      <c r="BAR19"/>
      <c r="BAS19"/>
      <c r="BAT19"/>
      <c r="BAU19"/>
      <c r="BAV19"/>
      <c r="BAW19"/>
      <c r="BAX19"/>
      <c r="BAY19"/>
      <c r="BAZ19"/>
      <c r="BBA19"/>
      <c r="BBB19"/>
      <c r="BBC19"/>
      <c r="BBD19"/>
      <c r="BBE19"/>
      <c r="BBF19"/>
      <c r="BBG19"/>
      <c r="BBH19"/>
      <c r="BBI19"/>
      <c r="BBJ19"/>
      <c r="BBK19"/>
      <c r="BBL19"/>
      <c r="BBM19"/>
      <c r="BBN19"/>
      <c r="BBO19"/>
      <c r="BBP19"/>
      <c r="BBQ19"/>
      <c r="BBR19"/>
      <c r="BBS19"/>
      <c r="BBT19"/>
      <c r="BBU19"/>
      <c r="BBV19"/>
      <c r="BBW19"/>
      <c r="BBX19"/>
      <c r="BBY19"/>
      <c r="BBZ19"/>
      <c r="BCA19"/>
      <c r="BCB19"/>
      <c r="BCC19"/>
      <c r="BCD19"/>
      <c r="BCE19"/>
      <c r="BCF19"/>
      <c r="BCG19"/>
      <c r="BCH19"/>
      <c r="BCI19"/>
      <c r="BCJ19"/>
      <c r="BCK19"/>
      <c r="BCL19"/>
      <c r="BCM19"/>
      <c r="BCN19"/>
      <c r="BCO19"/>
      <c r="BCP19"/>
      <c r="BCQ19"/>
      <c r="BCR19"/>
      <c r="BCS19"/>
      <c r="BCT19"/>
      <c r="BCU19"/>
      <c r="BCV19"/>
      <c r="BCW19"/>
      <c r="BCX19"/>
      <c r="BCY19"/>
      <c r="BCZ19"/>
      <c r="BDA19"/>
      <c r="BDB19"/>
      <c r="BDC19"/>
      <c r="BDD19"/>
      <c r="BDE19"/>
      <c r="BDF19"/>
      <c r="BDG19"/>
      <c r="BDH19"/>
      <c r="BDI19"/>
      <c r="BDJ19"/>
      <c r="BDK19"/>
      <c r="BDL19"/>
      <c r="BDM19"/>
      <c r="BDN19"/>
      <c r="BDO19"/>
      <c r="BDP19"/>
      <c r="BDQ19"/>
      <c r="BDR19"/>
      <c r="BDS19"/>
      <c r="BDT19"/>
      <c r="BDU19"/>
      <c r="BDV19"/>
      <c r="BDW19"/>
      <c r="BDX19"/>
      <c r="BDY19"/>
      <c r="BDZ19"/>
      <c r="BEA19"/>
      <c r="BEB19"/>
      <c r="BEC19"/>
      <c r="BED19"/>
      <c r="BEE19"/>
      <c r="BEF19"/>
      <c r="BEG19"/>
      <c r="BEH19"/>
      <c r="BEI19"/>
      <c r="BEJ19"/>
      <c r="BEK19"/>
      <c r="BEL19"/>
      <c r="BEM19"/>
      <c r="BEN19"/>
      <c r="BEO19"/>
      <c r="BEP19"/>
      <c r="BEQ19"/>
      <c r="BER19"/>
      <c r="BES19"/>
      <c r="BET19"/>
      <c r="BEU19"/>
      <c r="BEV19"/>
      <c r="BEW19"/>
      <c r="BEX19"/>
      <c r="BEY19"/>
      <c r="BEZ19"/>
      <c r="BFA19"/>
      <c r="BFB19"/>
      <c r="BFC19"/>
      <c r="BFD19"/>
      <c r="BFE19"/>
      <c r="BFF19"/>
      <c r="BFG19"/>
      <c r="BFH19"/>
      <c r="BFI19"/>
      <c r="BFJ19"/>
      <c r="BFK19"/>
      <c r="BFL19"/>
      <c r="BFM19"/>
      <c r="BFN19"/>
      <c r="BFO19"/>
      <c r="BFP19"/>
      <c r="BFQ19"/>
      <c r="BFR19"/>
      <c r="BFS19"/>
      <c r="BFT19"/>
      <c r="BFU19"/>
      <c r="BFV19"/>
      <c r="BFW19"/>
      <c r="BFX19"/>
      <c r="BFY19"/>
      <c r="BFZ19"/>
      <c r="BGA19"/>
      <c r="BGB19"/>
      <c r="BGC19"/>
      <c r="BGD19"/>
      <c r="BGE19"/>
      <c r="BGF19"/>
      <c r="BGG19"/>
      <c r="BGH19"/>
      <c r="BGI19"/>
      <c r="BGJ19"/>
      <c r="BGK19"/>
      <c r="BGL19"/>
      <c r="BGM19"/>
      <c r="BGN19"/>
      <c r="BGO19"/>
      <c r="BGP19"/>
      <c r="BGQ19"/>
      <c r="BGR19"/>
      <c r="BGS19"/>
      <c r="BGT19"/>
      <c r="BGU19"/>
      <c r="BGV19"/>
      <c r="BGW19"/>
      <c r="BGX19"/>
      <c r="BGY19"/>
      <c r="BGZ19"/>
      <c r="BHA19"/>
      <c r="BHB19"/>
      <c r="BHC19"/>
      <c r="BHD19"/>
      <c r="BHE19"/>
      <c r="BHF19"/>
      <c r="BHG19"/>
      <c r="BHH19"/>
      <c r="BHI19"/>
      <c r="BHJ19"/>
      <c r="BHK19"/>
      <c r="BHL19"/>
      <c r="BHM19"/>
      <c r="BHN19"/>
      <c r="BHO19"/>
      <c r="BHP19"/>
      <c r="BHQ19"/>
      <c r="BHR19"/>
      <c r="BHS19"/>
      <c r="BHT19"/>
      <c r="BHU19"/>
      <c r="BHV19"/>
      <c r="BHW19"/>
      <c r="BHX19"/>
      <c r="BHY19"/>
      <c r="BHZ19"/>
      <c r="BIA19"/>
      <c r="BIB19"/>
      <c r="BIC19"/>
      <c r="BID19"/>
      <c r="BIE19"/>
      <c r="BIF19"/>
      <c r="BIG19"/>
      <c r="BIH19"/>
      <c r="BII19"/>
      <c r="BIJ19"/>
      <c r="BIK19"/>
      <c r="BIL19"/>
      <c r="BIM19"/>
      <c r="BIN19"/>
      <c r="BIO19"/>
      <c r="BIP19"/>
      <c r="BIQ19"/>
      <c r="BIR19"/>
      <c r="BIS19"/>
      <c r="BIT19"/>
      <c r="BIU19"/>
      <c r="BIV19"/>
      <c r="BIW19"/>
      <c r="BIX19"/>
      <c r="BIY19"/>
      <c r="BIZ19"/>
      <c r="BJA19"/>
      <c r="BJB19"/>
      <c r="BJC19"/>
      <c r="BJD19"/>
      <c r="BJE19"/>
      <c r="BJF19"/>
      <c r="BJG19"/>
      <c r="BJH19"/>
      <c r="BJI19"/>
      <c r="BJJ19"/>
      <c r="BJK19"/>
      <c r="BJL19"/>
      <c r="BJM19"/>
      <c r="BJN19"/>
      <c r="BJO19"/>
      <c r="BJP19"/>
      <c r="BJQ19"/>
      <c r="BJR19"/>
      <c r="BJS19"/>
      <c r="BJT19"/>
      <c r="BJU19"/>
      <c r="BJV19"/>
      <c r="BJW19"/>
      <c r="BJX19"/>
      <c r="BJY19"/>
      <c r="BJZ19"/>
      <c r="BKA19"/>
      <c r="BKB19"/>
      <c r="BKC19"/>
      <c r="BKD19"/>
      <c r="BKE19"/>
      <c r="BKF19"/>
      <c r="BKG19"/>
      <c r="BKH19"/>
      <c r="BKI19"/>
      <c r="BKJ19"/>
      <c r="BKK19"/>
      <c r="BKL19"/>
      <c r="BKM19"/>
      <c r="BKN19"/>
      <c r="BKO19"/>
      <c r="BKP19"/>
      <c r="BKQ19"/>
      <c r="BKR19"/>
      <c r="BKS19"/>
      <c r="BKT19"/>
      <c r="BKU19"/>
      <c r="BKV19"/>
      <c r="BKW19"/>
      <c r="BKX19"/>
      <c r="BKY19"/>
      <c r="BKZ19"/>
      <c r="BLA19"/>
      <c r="BLB19"/>
      <c r="BLC19"/>
      <c r="BLD19"/>
      <c r="BLE19"/>
      <c r="BLF19"/>
      <c r="BLG19"/>
      <c r="BLH19"/>
      <c r="BLI19"/>
      <c r="BLJ19"/>
      <c r="BLK19"/>
      <c r="BLL19"/>
      <c r="BLM19"/>
      <c r="BLN19"/>
      <c r="BLO19"/>
      <c r="BLP19"/>
      <c r="BLQ19"/>
      <c r="BLR19"/>
      <c r="BLS19"/>
      <c r="BLT19"/>
      <c r="BLU19"/>
      <c r="BLV19"/>
      <c r="BLW19"/>
      <c r="BLX19"/>
      <c r="BLY19"/>
      <c r="BLZ19"/>
      <c r="BMA19"/>
      <c r="BMB19"/>
      <c r="BMC19"/>
      <c r="BMD19"/>
      <c r="BME19"/>
      <c r="BMF19"/>
      <c r="BMG19"/>
      <c r="BMH19"/>
      <c r="BMI19"/>
      <c r="BMJ19"/>
      <c r="BMK19"/>
      <c r="BML19"/>
      <c r="BMM19"/>
      <c r="BMN19"/>
      <c r="BMO19"/>
      <c r="BMP19"/>
      <c r="BMQ19"/>
      <c r="BMR19"/>
      <c r="BMS19"/>
      <c r="BMT19"/>
      <c r="BMU19"/>
      <c r="BMV19"/>
      <c r="BMW19"/>
      <c r="BMX19"/>
      <c r="BMY19"/>
      <c r="BMZ19"/>
      <c r="BNA19"/>
      <c r="BNB19"/>
      <c r="BNC19"/>
      <c r="BND19"/>
      <c r="BNE19"/>
      <c r="BNF19"/>
      <c r="BNG19"/>
      <c r="BNH19"/>
      <c r="BNI19"/>
      <c r="BNJ19"/>
      <c r="BNK19"/>
      <c r="BNL19"/>
      <c r="BNM19"/>
      <c r="BNN19"/>
      <c r="BNO19"/>
      <c r="BNP19"/>
      <c r="BNQ19"/>
      <c r="BNR19"/>
      <c r="BNS19"/>
      <c r="BNT19"/>
      <c r="BNU19"/>
      <c r="BNV19"/>
      <c r="BNW19"/>
      <c r="BNX19"/>
      <c r="BNY19"/>
      <c r="BNZ19"/>
      <c r="BOA19"/>
      <c r="BOB19"/>
      <c r="BOC19"/>
      <c r="BOD19"/>
      <c r="BOE19"/>
      <c r="BOF19"/>
      <c r="BOG19"/>
      <c r="BOH19"/>
      <c r="BOI19"/>
      <c r="BOJ19"/>
      <c r="BOK19"/>
      <c r="BOL19"/>
      <c r="BOM19"/>
      <c r="BON19"/>
      <c r="BOO19"/>
      <c r="BOP19"/>
      <c r="BOQ19"/>
      <c r="BOR19"/>
      <c r="BOS19"/>
      <c r="BOT19"/>
      <c r="BOU19"/>
      <c r="BOV19"/>
      <c r="BOW19"/>
      <c r="BOX19"/>
      <c r="BOY19"/>
      <c r="BOZ19"/>
      <c r="BPA19"/>
      <c r="BPB19"/>
      <c r="BPC19"/>
      <c r="BPD19"/>
      <c r="BPE19"/>
      <c r="BPF19"/>
      <c r="BPG19"/>
      <c r="BPH19"/>
      <c r="BPI19"/>
      <c r="BPJ19"/>
      <c r="BPK19"/>
      <c r="BPL19"/>
      <c r="BPM19"/>
      <c r="BPN19"/>
      <c r="BPO19"/>
      <c r="BPP19"/>
      <c r="BPQ19"/>
      <c r="BPR19"/>
      <c r="BPS19"/>
      <c r="BPT19"/>
      <c r="BPU19"/>
      <c r="BPV19"/>
      <c r="BPW19"/>
      <c r="BPX19"/>
      <c r="BPY19"/>
      <c r="BPZ19"/>
      <c r="BQA19"/>
      <c r="BQB19"/>
      <c r="BQC19"/>
      <c r="BQD19"/>
      <c r="BQE19"/>
      <c r="BQF19"/>
      <c r="BQG19"/>
      <c r="BQH19"/>
      <c r="BQI19"/>
      <c r="BQJ19"/>
      <c r="BQK19"/>
      <c r="BQL19"/>
      <c r="BQM19"/>
      <c r="BQN19"/>
      <c r="BQO19"/>
      <c r="BQP19"/>
      <c r="BQQ19"/>
      <c r="BQR19"/>
      <c r="BQS19"/>
      <c r="BQT19"/>
      <c r="BQU19"/>
      <c r="BQV19"/>
      <c r="BQW19"/>
      <c r="BQX19"/>
      <c r="BQY19"/>
      <c r="BQZ19"/>
      <c r="BRA19"/>
      <c r="BRB19"/>
      <c r="BRC19"/>
      <c r="BRD19"/>
      <c r="BRE19"/>
      <c r="BRF19"/>
      <c r="BRG19"/>
      <c r="BRH19"/>
      <c r="BRI19"/>
      <c r="BRJ19"/>
      <c r="BRK19"/>
      <c r="BRL19"/>
      <c r="BRM19"/>
      <c r="BRN19"/>
      <c r="BRO19"/>
      <c r="BRP19"/>
      <c r="BRQ19"/>
      <c r="BRR19"/>
      <c r="BRS19"/>
      <c r="BRT19"/>
      <c r="BRU19"/>
      <c r="BRV19"/>
      <c r="BRW19"/>
      <c r="BRX19"/>
      <c r="BRY19"/>
      <c r="BRZ19"/>
      <c r="BSA19"/>
      <c r="BSB19"/>
      <c r="BSC19"/>
      <c r="BSD19"/>
      <c r="BSE19"/>
      <c r="BSF19"/>
      <c r="BSG19"/>
      <c r="BSH19"/>
      <c r="BSI19"/>
      <c r="BSJ19"/>
      <c r="BSK19"/>
      <c r="BSL19"/>
      <c r="BSM19"/>
      <c r="BSN19"/>
      <c r="BSO19"/>
      <c r="BSP19"/>
      <c r="BSQ19"/>
      <c r="BSR19"/>
      <c r="BSS19"/>
      <c r="BST19"/>
      <c r="BSU19"/>
      <c r="BSV19"/>
      <c r="BSW19"/>
      <c r="BSX19"/>
      <c r="BSY19"/>
      <c r="BSZ19"/>
      <c r="BTA19"/>
      <c r="BTB19"/>
      <c r="BTC19"/>
      <c r="BTD19"/>
      <c r="BTE19"/>
      <c r="BTF19"/>
      <c r="BTG19"/>
      <c r="BTH19"/>
      <c r="BTI19"/>
      <c r="BTJ19"/>
      <c r="BTK19"/>
      <c r="BTL19"/>
      <c r="BTM19"/>
      <c r="BTN19"/>
      <c r="BTO19"/>
      <c r="BTP19"/>
      <c r="BTQ19"/>
      <c r="BTR19"/>
      <c r="BTS19"/>
      <c r="BTT19"/>
      <c r="BTU19"/>
      <c r="BTV19"/>
      <c r="BTW19"/>
      <c r="BTX19"/>
      <c r="BTY19"/>
      <c r="BTZ19"/>
      <c r="BUA19"/>
      <c r="BUB19"/>
      <c r="BUC19"/>
      <c r="BUD19"/>
      <c r="BUE19"/>
      <c r="BUF19"/>
      <c r="BUG19"/>
      <c r="BUH19"/>
      <c r="BUI19"/>
      <c r="BUJ19"/>
      <c r="BUK19"/>
      <c r="BUL19"/>
      <c r="BUM19"/>
      <c r="BUN19"/>
      <c r="BUO19"/>
      <c r="BUP19"/>
      <c r="BUQ19"/>
      <c r="BUR19"/>
      <c r="BUS19"/>
      <c r="BUT19"/>
      <c r="BUU19"/>
      <c r="BUV19"/>
      <c r="BUW19"/>
      <c r="BUX19"/>
      <c r="BUY19"/>
      <c r="BUZ19"/>
      <c r="BVA19"/>
      <c r="BVB19"/>
      <c r="BVC19"/>
      <c r="BVD19"/>
      <c r="BVE19"/>
      <c r="BVF19"/>
      <c r="BVG19"/>
      <c r="BVH19"/>
      <c r="BVI19"/>
      <c r="BVJ19"/>
      <c r="BVK19"/>
      <c r="BVL19"/>
      <c r="BVM19"/>
      <c r="BVN19"/>
      <c r="BVO19"/>
      <c r="BVP19"/>
      <c r="BVQ19"/>
      <c r="BVR19"/>
      <c r="BVS19"/>
      <c r="BVT19"/>
      <c r="BVU19"/>
      <c r="BVV19"/>
      <c r="BVW19"/>
      <c r="BVX19"/>
      <c r="BVY19"/>
      <c r="BVZ19"/>
      <c r="BWA19"/>
      <c r="BWB19"/>
      <c r="BWC19"/>
      <c r="BWD19"/>
      <c r="BWE19"/>
      <c r="BWF19"/>
      <c r="BWG19"/>
      <c r="BWH19"/>
      <c r="BWI19"/>
      <c r="BWJ19"/>
      <c r="BWK19"/>
      <c r="BWL19"/>
      <c r="BWM19"/>
      <c r="BWN19"/>
      <c r="BWO19"/>
      <c r="BWP19"/>
      <c r="BWQ19"/>
      <c r="BWR19"/>
      <c r="BWS19"/>
      <c r="BWT19"/>
      <c r="BWU19"/>
      <c r="BWV19"/>
      <c r="BWW19"/>
      <c r="BWX19"/>
      <c r="BWY19"/>
      <c r="BWZ19"/>
      <c r="BXA19"/>
      <c r="BXB19"/>
      <c r="BXC19"/>
      <c r="BXD19"/>
      <c r="BXE19"/>
      <c r="BXF19"/>
      <c r="BXG19"/>
      <c r="BXH19"/>
      <c r="BXI19"/>
      <c r="BXJ19"/>
      <c r="BXK19"/>
      <c r="BXL19"/>
      <c r="BXM19"/>
      <c r="BXN19"/>
      <c r="BXO19"/>
      <c r="BXP19"/>
      <c r="BXQ19"/>
      <c r="BXR19"/>
      <c r="BXS19"/>
      <c r="BXT19"/>
      <c r="BXU19"/>
      <c r="BXV19"/>
      <c r="BXW19"/>
      <c r="BXX19"/>
      <c r="BXY19"/>
      <c r="BXZ19"/>
      <c r="BYA19"/>
      <c r="BYB19"/>
      <c r="BYC19"/>
      <c r="BYD19"/>
      <c r="BYE19"/>
      <c r="BYF19"/>
      <c r="BYG19"/>
    </row>
    <row r="20" spans="1:2009" s="75" customFormat="1" ht="24.95" hidden="1" customHeight="1" x14ac:dyDescent="0.25">
      <c r="A20" s="102"/>
      <c r="B20" s="76" t="s">
        <v>266</v>
      </c>
      <c r="C20" s="140"/>
      <c r="D20" s="140"/>
      <c r="E20" s="141"/>
      <c r="F20" s="141"/>
      <c r="G20" s="513">
        <f t="shared" si="0"/>
        <v>0</v>
      </c>
      <c r="H20"/>
      <c r="I20" s="21"/>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row>
    <row r="21" spans="1:2009" s="75" customFormat="1" ht="24.95" hidden="1" customHeight="1" x14ac:dyDescent="0.25">
      <c r="A21" s="102"/>
      <c r="B21" s="76" t="s">
        <v>307</v>
      </c>
      <c r="C21" s="140"/>
      <c r="D21" s="140"/>
      <c r="E21" s="141"/>
      <c r="F21" s="141"/>
      <c r="G21" s="513"/>
      <c r="H21"/>
      <c r="I21" s="21"/>
      <c r="J21"/>
      <c r="K21" s="258"/>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row>
    <row r="22" spans="1:2009" s="77" customFormat="1" ht="24.95" hidden="1" customHeight="1" x14ac:dyDescent="0.25">
      <c r="A22" s="103"/>
      <c r="B22" s="93" t="s">
        <v>311</v>
      </c>
      <c r="C22" s="140"/>
      <c r="D22" s="140"/>
      <c r="E22" s="141"/>
      <c r="F22" s="141"/>
      <c r="G22" s="513"/>
      <c r="H22" s="3"/>
      <c r="I22" s="26"/>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c r="AML22" s="3"/>
      <c r="AMM22" s="3"/>
      <c r="AMN22" s="3"/>
      <c r="AMO22" s="3"/>
      <c r="AMP22" s="3"/>
      <c r="AMQ22" s="3"/>
      <c r="AMR22" s="3"/>
      <c r="AMS22" s="3"/>
      <c r="AMT22" s="3"/>
      <c r="AMU22" s="3"/>
      <c r="AMV22" s="3"/>
      <c r="AMW22" s="3"/>
      <c r="AMX22" s="3"/>
      <c r="AMY22" s="3"/>
      <c r="AMZ22" s="3"/>
      <c r="ANA22" s="3"/>
      <c r="ANB22" s="3"/>
      <c r="ANC22" s="3"/>
      <c r="AND22" s="3"/>
      <c r="ANE22" s="3"/>
      <c r="ANF22" s="3"/>
      <c r="ANG22" s="3"/>
      <c r="ANH22" s="3"/>
      <c r="ANI22" s="3"/>
      <c r="ANJ22" s="3"/>
      <c r="ANK22" s="3"/>
      <c r="ANL22" s="3"/>
      <c r="ANM22" s="3"/>
      <c r="ANN22" s="3"/>
      <c r="ANO22" s="3"/>
      <c r="ANP22" s="3"/>
      <c r="ANQ22" s="3"/>
      <c r="ANR22" s="3"/>
      <c r="ANS22" s="3"/>
      <c r="ANT22" s="3"/>
      <c r="ANU22" s="3"/>
      <c r="ANV22" s="3"/>
      <c r="ANW22" s="3"/>
      <c r="ANX22" s="3"/>
      <c r="ANY22" s="3"/>
      <c r="ANZ22" s="3"/>
      <c r="AOA22" s="3"/>
      <c r="AOB22" s="3"/>
      <c r="AOC22" s="3"/>
      <c r="AOD22" s="3"/>
      <c r="AOE22" s="3"/>
      <c r="AOF22" s="3"/>
      <c r="AOG22" s="3"/>
      <c r="AOH22" s="3"/>
      <c r="AOI22" s="3"/>
      <c r="AOJ22" s="3"/>
      <c r="AOK22" s="3"/>
      <c r="AOL22" s="3"/>
      <c r="AOM22" s="3"/>
      <c r="AON22" s="3"/>
      <c r="AOO22" s="3"/>
      <c r="AOP22" s="3"/>
      <c r="AOQ22" s="3"/>
      <c r="AOR22" s="3"/>
      <c r="AOS22" s="3"/>
      <c r="AOT22" s="3"/>
      <c r="AOU22" s="3"/>
      <c r="AOV22" s="3"/>
      <c r="AOW22" s="3"/>
      <c r="AOX22" s="3"/>
      <c r="AOY22" s="3"/>
      <c r="AOZ22" s="3"/>
      <c r="APA22" s="3"/>
      <c r="APB22" s="3"/>
      <c r="APC22" s="3"/>
      <c r="APD22" s="3"/>
      <c r="APE22" s="3"/>
      <c r="APF22" s="3"/>
      <c r="APG22" s="3"/>
      <c r="APH22" s="3"/>
      <c r="API22" s="3"/>
      <c r="APJ22" s="3"/>
      <c r="APK22" s="3"/>
      <c r="APL22" s="3"/>
      <c r="APM22" s="3"/>
      <c r="APN22" s="3"/>
      <c r="APO22" s="3"/>
      <c r="APP22" s="3"/>
      <c r="APQ22" s="3"/>
      <c r="APR22" s="3"/>
      <c r="APS22" s="3"/>
      <c r="APT22" s="3"/>
      <c r="APU22" s="3"/>
      <c r="APV22" s="3"/>
      <c r="APW22" s="3"/>
      <c r="APX22" s="3"/>
      <c r="APY22" s="3"/>
      <c r="APZ22" s="3"/>
      <c r="AQA22" s="3"/>
      <c r="AQB22" s="3"/>
      <c r="AQC22" s="3"/>
      <c r="AQD22" s="3"/>
      <c r="AQE22" s="3"/>
      <c r="AQF22" s="3"/>
      <c r="AQG22" s="3"/>
      <c r="AQH22" s="3"/>
      <c r="AQI22" s="3"/>
      <c r="AQJ22" s="3"/>
      <c r="AQK22" s="3"/>
      <c r="AQL22" s="3"/>
      <c r="AQM22" s="3"/>
      <c r="AQN22" s="3"/>
      <c r="AQO22" s="3"/>
      <c r="AQP22" s="3"/>
      <c r="AQQ22" s="3"/>
      <c r="AQR22" s="3"/>
      <c r="AQS22" s="3"/>
      <c r="AQT22" s="3"/>
      <c r="AQU22" s="3"/>
      <c r="AQV22" s="3"/>
      <c r="AQW22" s="3"/>
      <c r="AQX22" s="3"/>
      <c r="AQY22" s="3"/>
      <c r="AQZ22" s="3"/>
      <c r="ARA22" s="3"/>
      <c r="ARB22" s="3"/>
      <c r="ARC22" s="3"/>
      <c r="ARD22" s="3"/>
      <c r="ARE22" s="3"/>
      <c r="ARF22" s="3"/>
      <c r="ARG22" s="3"/>
      <c r="ARH22" s="3"/>
      <c r="ARI22" s="3"/>
      <c r="ARJ22" s="3"/>
      <c r="ARK22" s="3"/>
      <c r="ARL22" s="3"/>
      <c r="ARM22" s="3"/>
      <c r="ARN22" s="3"/>
      <c r="ARO22" s="3"/>
      <c r="ARP22" s="3"/>
      <c r="ARQ22" s="3"/>
      <c r="ARR22" s="3"/>
      <c r="ARS22" s="3"/>
      <c r="ART22" s="3"/>
      <c r="ARU22" s="3"/>
      <c r="ARV22" s="3"/>
      <c r="ARW22" s="3"/>
      <c r="ARX22" s="3"/>
      <c r="ARY22" s="3"/>
      <c r="ARZ22" s="3"/>
      <c r="ASA22" s="3"/>
      <c r="ASB22" s="3"/>
      <c r="ASC22" s="3"/>
      <c r="ASD22" s="3"/>
      <c r="ASE22" s="3"/>
      <c r="ASF22" s="3"/>
      <c r="ASG22" s="3"/>
      <c r="ASH22" s="3"/>
      <c r="ASI22" s="3"/>
      <c r="ASJ22" s="3"/>
      <c r="ASK22" s="3"/>
      <c r="ASL22" s="3"/>
      <c r="ASM22" s="3"/>
      <c r="ASN22" s="3"/>
      <c r="ASO22" s="3"/>
      <c r="ASP22" s="3"/>
      <c r="ASQ22" s="3"/>
      <c r="ASR22" s="3"/>
      <c r="ASS22" s="3"/>
      <c r="AST22" s="3"/>
      <c r="ASU22" s="3"/>
      <c r="ASV22" s="3"/>
      <c r="ASW22" s="3"/>
      <c r="ASX22" s="3"/>
      <c r="ASY22" s="3"/>
      <c r="ASZ22" s="3"/>
      <c r="ATA22" s="3"/>
      <c r="ATB22" s="3"/>
      <c r="ATC22" s="3"/>
      <c r="ATD22" s="3"/>
      <c r="ATE22" s="3"/>
      <c r="ATF22" s="3"/>
      <c r="ATG22" s="3"/>
      <c r="ATH22" s="3"/>
      <c r="ATI22" s="3"/>
      <c r="ATJ22" s="3"/>
      <c r="ATK22" s="3"/>
      <c r="ATL22" s="3"/>
      <c r="ATM22" s="3"/>
      <c r="ATN22" s="3"/>
      <c r="ATO22" s="3"/>
      <c r="ATP22" s="3"/>
      <c r="ATQ22" s="3"/>
      <c r="ATR22" s="3"/>
      <c r="ATS22" s="3"/>
      <c r="ATT22" s="3"/>
      <c r="ATU22" s="3"/>
      <c r="ATV22" s="3"/>
      <c r="ATW22" s="3"/>
      <c r="ATX22" s="3"/>
      <c r="ATY22" s="3"/>
      <c r="ATZ22" s="3"/>
      <c r="AUA22" s="3"/>
      <c r="AUB22" s="3"/>
      <c r="AUC22" s="3"/>
      <c r="AUD22" s="3"/>
      <c r="AUE22" s="3"/>
      <c r="AUF22" s="3"/>
      <c r="AUG22" s="3"/>
      <c r="AUH22" s="3"/>
      <c r="AUI22" s="3"/>
      <c r="AUJ22" s="3"/>
      <c r="AUK22" s="3"/>
      <c r="AUL22" s="3"/>
      <c r="AUM22" s="3"/>
      <c r="AUN22" s="3"/>
      <c r="AUO22" s="3"/>
      <c r="AUP22" s="3"/>
      <c r="AUQ22" s="3"/>
      <c r="AUR22" s="3"/>
      <c r="AUS22" s="3"/>
      <c r="AUT22" s="3"/>
      <c r="AUU22" s="3"/>
      <c r="AUV22" s="3"/>
      <c r="AUW22" s="3"/>
      <c r="AUX22" s="3"/>
      <c r="AUY22" s="3"/>
      <c r="AUZ22" s="3"/>
      <c r="AVA22" s="3"/>
      <c r="AVB22" s="3"/>
      <c r="AVC22" s="3"/>
      <c r="AVD22" s="3"/>
      <c r="AVE22" s="3"/>
      <c r="AVF22" s="3"/>
      <c r="AVG22" s="3"/>
      <c r="AVH22" s="3"/>
      <c r="AVI22" s="3"/>
      <c r="AVJ22" s="3"/>
      <c r="AVK22" s="3"/>
      <c r="AVL22" s="3"/>
      <c r="AVM22" s="3"/>
      <c r="AVN22" s="3"/>
      <c r="AVO22" s="3"/>
      <c r="AVP22" s="3"/>
      <c r="AVQ22" s="3"/>
      <c r="AVR22" s="3"/>
      <c r="AVS22" s="3"/>
      <c r="AVT22" s="3"/>
      <c r="AVU22" s="3"/>
      <c r="AVV22" s="3"/>
      <c r="AVW22" s="3"/>
      <c r="AVX22" s="3"/>
      <c r="AVY22" s="3"/>
      <c r="AVZ22" s="3"/>
      <c r="AWA22" s="3"/>
      <c r="AWB22" s="3"/>
      <c r="AWC22" s="3"/>
      <c r="AWD22" s="3"/>
      <c r="AWE22" s="3"/>
      <c r="AWF22" s="3"/>
      <c r="AWG22" s="3"/>
      <c r="AWH22" s="3"/>
      <c r="AWI22" s="3"/>
      <c r="AWJ22" s="3"/>
      <c r="AWK22" s="3"/>
      <c r="AWL22" s="3"/>
      <c r="AWM22" s="3"/>
      <c r="AWN22" s="3"/>
      <c r="AWO22" s="3"/>
      <c r="AWP22" s="3"/>
      <c r="AWQ22" s="3"/>
      <c r="AWR22" s="3"/>
      <c r="AWS22" s="3"/>
      <c r="AWT22" s="3"/>
      <c r="AWU22" s="3"/>
      <c r="AWV22" s="3"/>
      <c r="AWW22" s="3"/>
      <c r="AWX22" s="3"/>
      <c r="AWY22" s="3"/>
      <c r="AWZ22" s="3"/>
      <c r="AXA22" s="3"/>
      <c r="AXB22" s="3"/>
      <c r="AXC22" s="3"/>
      <c r="AXD22" s="3"/>
      <c r="AXE22" s="3"/>
      <c r="AXF22" s="3"/>
      <c r="AXG22" s="3"/>
      <c r="AXH22" s="3"/>
      <c r="AXI22" s="3"/>
      <c r="AXJ22" s="3"/>
      <c r="AXK22" s="3"/>
      <c r="AXL22" s="3"/>
      <c r="AXM22" s="3"/>
      <c r="AXN22" s="3"/>
      <c r="AXO22" s="3"/>
      <c r="AXP22" s="3"/>
      <c r="AXQ22" s="3"/>
      <c r="AXR22" s="3"/>
      <c r="AXS22" s="3"/>
      <c r="AXT22" s="3"/>
      <c r="AXU22" s="3"/>
      <c r="AXV22" s="3"/>
      <c r="AXW22" s="3"/>
      <c r="AXX22" s="3"/>
      <c r="AXY22" s="3"/>
      <c r="AXZ22" s="3"/>
      <c r="AYA22" s="3"/>
      <c r="AYB22" s="3"/>
      <c r="AYC22" s="3"/>
      <c r="AYD22" s="3"/>
      <c r="AYE22" s="3"/>
      <c r="AYF22" s="3"/>
      <c r="AYG22" s="3"/>
      <c r="AYH22" s="3"/>
      <c r="AYI22" s="3"/>
      <c r="AYJ22" s="3"/>
      <c r="AYK22" s="3"/>
      <c r="AYL22" s="3"/>
      <c r="AYM22" s="3"/>
      <c r="AYN22" s="3"/>
      <c r="AYO22" s="3"/>
      <c r="AYP22" s="3"/>
      <c r="AYQ22" s="3"/>
      <c r="AYR22" s="3"/>
      <c r="AYS22" s="3"/>
      <c r="AYT22" s="3"/>
      <c r="AYU22" s="3"/>
      <c r="AYV22" s="3"/>
      <c r="AYW22" s="3"/>
      <c r="AYX22" s="3"/>
      <c r="AYY22" s="3"/>
      <c r="AYZ22" s="3"/>
      <c r="AZA22" s="3"/>
      <c r="AZB22" s="3"/>
      <c r="AZC22" s="3"/>
      <c r="AZD22" s="3"/>
      <c r="AZE22" s="3"/>
      <c r="AZF22" s="3"/>
      <c r="AZG22" s="3"/>
      <c r="AZH22" s="3"/>
      <c r="AZI22" s="3"/>
      <c r="AZJ22" s="3"/>
      <c r="AZK22" s="3"/>
      <c r="AZL22" s="3"/>
      <c r="AZM22" s="3"/>
      <c r="AZN22" s="3"/>
      <c r="AZO22" s="3"/>
      <c r="AZP22" s="3"/>
      <c r="AZQ22" s="3"/>
      <c r="AZR22" s="3"/>
      <c r="AZS22" s="3"/>
      <c r="AZT22" s="3"/>
      <c r="AZU22" s="3"/>
      <c r="AZV22" s="3"/>
      <c r="AZW22" s="3"/>
      <c r="AZX22" s="3"/>
      <c r="AZY22" s="3"/>
      <c r="AZZ22" s="3"/>
      <c r="BAA22" s="3"/>
      <c r="BAB22" s="3"/>
      <c r="BAC22" s="3"/>
      <c r="BAD22" s="3"/>
      <c r="BAE22" s="3"/>
      <c r="BAF22" s="3"/>
      <c r="BAG22" s="3"/>
      <c r="BAH22" s="3"/>
      <c r="BAI22" s="3"/>
      <c r="BAJ22" s="3"/>
      <c r="BAK22" s="3"/>
      <c r="BAL22" s="3"/>
      <c r="BAM22" s="3"/>
      <c r="BAN22" s="3"/>
      <c r="BAO22" s="3"/>
      <c r="BAP22" s="3"/>
      <c r="BAQ22" s="3"/>
      <c r="BAR22" s="3"/>
      <c r="BAS22" s="3"/>
      <c r="BAT22" s="3"/>
      <c r="BAU22" s="3"/>
      <c r="BAV22" s="3"/>
      <c r="BAW22" s="3"/>
      <c r="BAX22" s="3"/>
      <c r="BAY22" s="3"/>
      <c r="BAZ22" s="3"/>
      <c r="BBA22" s="3"/>
      <c r="BBB22" s="3"/>
      <c r="BBC22" s="3"/>
      <c r="BBD22" s="3"/>
      <c r="BBE22" s="3"/>
      <c r="BBF22" s="3"/>
      <c r="BBG22" s="3"/>
      <c r="BBH22" s="3"/>
      <c r="BBI22" s="3"/>
      <c r="BBJ22" s="3"/>
      <c r="BBK22" s="3"/>
      <c r="BBL22" s="3"/>
      <c r="BBM22" s="3"/>
      <c r="BBN22" s="3"/>
      <c r="BBO22" s="3"/>
      <c r="BBP22" s="3"/>
      <c r="BBQ22" s="3"/>
      <c r="BBR22" s="3"/>
      <c r="BBS22" s="3"/>
      <c r="BBT22" s="3"/>
      <c r="BBU22" s="3"/>
      <c r="BBV22" s="3"/>
      <c r="BBW22" s="3"/>
      <c r="BBX22" s="3"/>
      <c r="BBY22" s="3"/>
      <c r="BBZ22" s="3"/>
      <c r="BCA22" s="3"/>
      <c r="BCB22" s="3"/>
      <c r="BCC22" s="3"/>
      <c r="BCD22" s="3"/>
      <c r="BCE22" s="3"/>
      <c r="BCF22" s="3"/>
      <c r="BCG22" s="3"/>
      <c r="BCH22" s="3"/>
      <c r="BCI22" s="3"/>
      <c r="BCJ22" s="3"/>
      <c r="BCK22" s="3"/>
      <c r="BCL22" s="3"/>
      <c r="BCM22" s="3"/>
      <c r="BCN22" s="3"/>
      <c r="BCO22" s="3"/>
      <c r="BCP22" s="3"/>
      <c r="BCQ22" s="3"/>
      <c r="BCR22" s="3"/>
      <c r="BCS22" s="3"/>
      <c r="BCT22" s="3"/>
      <c r="BCU22" s="3"/>
      <c r="BCV22" s="3"/>
      <c r="BCW22" s="3"/>
      <c r="BCX22" s="3"/>
      <c r="BCY22" s="3"/>
      <c r="BCZ22" s="3"/>
      <c r="BDA22" s="3"/>
      <c r="BDB22" s="3"/>
      <c r="BDC22" s="3"/>
      <c r="BDD22" s="3"/>
      <c r="BDE22" s="3"/>
      <c r="BDF22" s="3"/>
      <c r="BDG22" s="3"/>
      <c r="BDH22" s="3"/>
      <c r="BDI22" s="3"/>
      <c r="BDJ22" s="3"/>
      <c r="BDK22" s="3"/>
      <c r="BDL22" s="3"/>
      <c r="BDM22" s="3"/>
      <c r="BDN22" s="3"/>
      <c r="BDO22" s="3"/>
      <c r="BDP22" s="3"/>
      <c r="BDQ22" s="3"/>
      <c r="BDR22" s="3"/>
      <c r="BDS22" s="3"/>
      <c r="BDT22" s="3"/>
      <c r="BDU22" s="3"/>
      <c r="BDV22" s="3"/>
      <c r="BDW22" s="3"/>
      <c r="BDX22" s="3"/>
      <c r="BDY22" s="3"/>
      <c r="BDZ22" s="3"/>
      <c r="BEA22" s="3"/>
      <c r="BEB22" s="3"/>
      <c r="BEC22" s="3"/>
      <c r="BED22" s="3"/>
      <c r="BEE22" s="3"/>
      <c r="BEF22" s="3"/>
      <c r="BEG22" s="3"/>
      <c r="BEH22" s="3"/>
      <c r="BEI22" s="3"/>
      <c r="BEJ22" s="3"/>
      <c r="BEK22" s="3"/>
      <c r="BEL22" s="3"/>
      <c r="BEM22" s="3"/>
      <c r="BEN22" s="3"/>
      <c r="BEO22" s="3"/>
      <c r="BEP22" s="3"/>
      <c r="BEQ22" s="3"/>
      <c r="BER22" s="3"/>
      <c r="BES22" s="3"/>
      <c r="BET22" s="3"/>
      <c r="BEU22" s="3"/>
      <c r="BEV22" s="3"/>
      <c r="BEW22" s="3"/>
      <c r="BEX22" s="3"/>
      <c r="BEY22" s="3"/>
      <c r="BEZ22" s="3"/>
      <c r="BFA22" s="3"/>
      <c r="BFB22" s="3"/>
      <c r="BFC22" s="3"/>
      <c r="BFD22" s="3"/>
      <c r="BFE22" s="3"/>
      <c r="BFF22" s="3"/>
      <c r="BFG22" s="3"/>
      <c r="BFH22" s="3"/>
      <c r="BFI22" s="3"/>
      <c r="BFJ22" s="3"/>
      <c r="BFK22" s="3"/>
      <c r="BFL22" s="3"/>
      <c r="BFM22" s="3"/>
      <c r="BFN22" s="3"/>
      <c r="BFO22" s="3"/>
      <c r="BFP22" s="3"/>
      <c r="BFQ22" s="3"/>
      <c r="BFR22" s="3"/>
      <c r="BFS22" s="3"/>
      <c r="BFT22" s="3"/>
      <c r="BFU22" s="3"/>
      <c r="BFV22" s="3"/>
      <c r="BFW22" s="3"/>
      <c r="BFX22" s="3"/>
      <c r="BFY22" s="3"/>
      <c r="BFZ22" s="3"/>
      <c r="BGA22" s="3"/>
      <c r="BGB22" s="3"/>
      <c r="BGC22" s="3"/>
      <c r="BGD22" s="3"/>
      <c r="BGE22" s="3"/>
      <c r="BGF22" s="3"/>
      <c r="BGG22" s="3"/>
      <c r="BGH22" s="3"/>
      <c r="BGI22" s="3"/>
      <c r="BGJ22" s="3"/>
      <c r="BGK22" s="3"/>
      <c r="BGL22" s="3"/>
      <c r="BGM22" s="3"/>
      <c r="BGN22" s="3"/>
      <c r="BGO22" s="3"/>
      <c r="BGP22" s="3"/>
      <c r="BGQ22" s="3"/>
      <c r="BGR22" s="3"/>
      <c r="BGS22" s="3"/>
      <c r="BGT22" s="3"/>
      <c r="BGU22" s="3"/>
      <c r="BGV22" s="3"/>
      <c r="BGW22" s="3"/>
      <c r="BGX22" s="3"/>
      <c r="BGY22" s="3"/>
      <c r="BGZ22" s="3"/>
      <c r="BHA22" s="3"/>
      <c r="BHB22" s="3"/>
      <c r="BHC22" s="3"/>
      <c r="BHD22" s="3"/>
      <c r="BHE22" s="3"/>
      <c r="BHF22" s="3"/>
      <c r="BHG22" s="3"/>
      <c r="BHH22" s="3"/>
      <c r="BHI22" s="3"/>
      <c r="BHJ22" s="3"/>
      <c r="BHK22" s="3"/>
      <c r="BHL22" s="3"/>
      <c r="BHM22" s="3"/>
      <c r="BHN22" s="3"/>
      <c r="BHO22" s="3"/>
      <c r="BHP22" s="3"/>
      <c r="BHQ22" s="3"/>
      <c r="BHR22" s="3"/>
      <c r="BHS22" s="3"/>
      <c r="BHT22" s="3"/>
      <c r="BHU22" s="3"/>
      <c r="BHV22" s="3"/>
      <c r="BHW22" s="3"/>
      <c r="BHX22" s="3"/>
      <c r="BHY22" s="3"/>
      <c r="BHZ22" s="3"/>
      <c r="BIA22" s="3"/>
      <c r="BIB22" s="3"/>
      <c r="BIC22" s="3"/>
      <c r="BID22" s="3"/>
      <c r="BIE22" s="3"/>
      <c r="BIF22" s="3"/>
      <c r="BIG22" s="3"/>
      <c r="BIH22" s="3"/>
      <c r="BII22" s="3"/>
      <c r="BIJ22" s="3"/>
      <c r="BIK22" s="3"/>
      <c r="BIL22" s="3"/>
      <c r="BIM22" s="3"/>
      <c r="BIN22" s="3"/>
      <c r="BIO22" s="3"/>
      <c r="BIP22" s="3"/>
      <c r="BIQ22" s="3"/>
      <c r="BIR22" s="3"/>
      <c r="BIS22" s="3"/>
      <c r="BIT22" s="3"/>
      <c r="BIU22" s="3"/>
      <c r="BIV22" s="3"/>
      <c r="BIW22" s="3"/>
      <c r="BIX22" s="3"/>
      <c r="BIY22" s="3"/>
      <c r="BIZ22" s="3"/>
      <c r="BJA22" s="3"/>
      <c r="BJB22" s="3"/>
      <c r="BJC22" s="3"/>
      <c r="BJD22" s="3"/>
      <c r="BJE22" s="3"/>
      <c r="BJF22" s="3"/>
      <c r="BJG22" s="3"/>
      <c r="BJH22" s="3"/>
      <c r="BJI22" s="3"/>
      <c r="BJJ22" s="3"/>
      <c r="BJK22" s="3"/>
      <c r="BJL22" s="3"/>
      <c r="BJM22" s="3"/>
      <c r="BJN22" s="3"/>
      <c r="BJO22" s="3"/>
      <c r="BJP22" s="3"/>
      <c r="BJQ22" s="3"/>
      <c r="BJR22" s="3"/>
      <c r="BJS22" s="3"/>
      <c r="BJT22" s="3"/>
      <c r="BJU22" s="3"/>
      <c r="BJV22" s="3"/>
      <c r="BJW22" s="3"/>
      <c r="BJX22" s="3"/>
      <c r="BJY22" s="3"/>
      <c r="BJZ22" s="3"/>
      <c r="BKA22" s="3"/>
      <c r="BKB22" s="3"/>
      <c r="BKC22" s="3"/>
      <c r="BKD22" s="3"/>
      <c r="BKE22" s="3"/>
      <c r="BKF22" s="3"/>
      <c r="BKG22" s="3"/>
      <c r="BKH22" s="3"/>
      <c r="BKI22" s="3"/>
      <c r="BKJ22" s="3"/>
      <c r="BKK22" s="3"/>
      <c r="BKL22" s="3"/>
      <c r="BKM22" s="3"/>
      <c r="BKN22" s="3"/>
      <c r="BKO22" s="3"/>
      <c r="BKP22" s="3"/>
      <c r="BKQ22" s="3"/>
      <c r="BKR22" s="3"/>
      <c r="BKS22" s="3"/>
      <c r="BKT22" s="3"/>
      <c r="BKU22" s="3"/>
      <c r="BKV22" s="3"/>
      <c r="BKW22" s="3"/>
      <c r="BKX22" s="3"/>
      <c r="BKY22" s="3"/>
      <c r="BKZ22" s="3"/>
      <c r="BLA22" s="3"/>
      <c r="BLB22" s="3"/>
      <c r="BLC22" s="3"/>
      <c r="BLD22" s="3"/>
      <c r="BLE22" s="3"/>
      <c r="BLF22" s="3"/>
      <c r="BLG22" s="3"/>
      <c r="BLH22" s="3"/>
      <c r="BLI22" s="3"/>
      <c r="BLJ22" s="3"/>
      <c r="BLK22" s="3"/>
      <c r="BLL22" s="3"/>
      <c r="BLM22" s="3"/>
      <c r="BLN22" s="3"/>
      <c r="BLO22" s="3"/>
      <c r="BLP22" s="3"/>
      <c r="BLQ22" s="3"/>
      <c r="BLR22" s="3"/>
      <c r="BLS22" s="3"/>
      <c r="BLT22" s="3"/>
      <c r="BLU22" s="3"/>
      <c r="BLV22" s="3"/>
      <c r="BLW22" s="3"/>
      <c r="BLX22" s="3"/>
      <c r="BLY22" s="3"/>
      <c r="BLZ22" s="3"/>
      <c r="BMA22" s="3"/>
      <c r="BMB22" s="3"/>
      <c r="BMC22" s="3"/>
      <c r="BMD22" s="3"/>
      <c r="BME22" s="3"/>
      <c r="BMF22" s="3"/>
      <c r="BMG22" s="3"/>
      <c r="BMH22" s="3"/>
      <c r="BMI22" s="3"/>
      <c r="BMJ22" s="3"/>
      <c r="BMK22" s="3"/>
      <c r="BML22" s="3"/>
      <c r="BMM22" s="3"/>
      <c r="BMN22" s="3"/>
      <c r="BMO22" s="3"/>
      <c r="BMP22" s="3"/>
      <c r="BMQ22" s="3"/>
      <c r="BMR22" s="3"/>
      <c r="BMS22" s="3"/>
      <c r="BMT22" s="3"/>
      <c r="BMU22" s="3"/>
      <c r="BMV22" s="3"/>
      <c r="BMW22" s="3"/>
      <c r="BMX22" s="3"/>
      <c r="BMY22" s="3"/>
      <c r="BMZ22" s="3"/>
      <c r="BNA22" s="3"/>
      <c r="BNB22" s="3"/>
      <c r="BNC22" s="3"/>
      <c r="BND22" s="3"/>
      <c r="BNE22" s="3"/>
      <c r="BNF22" s="3"/>
      <c r="BNG22" s="3"/>
      <c r="BNH22" s="3"/>
      <c r="BNI22" s="3"/>
      <c r="BNJ22" s="3"/>
      <c r="BNK22" s="3"/>
      <c r="BNL22" s="3"/>
      <c r="BNM22" s="3"/>
      <c r="BNN22" s="3"/>
      <c r="BNO22" s="3"/>
      <c r="BNP22" s="3"/>
      <c r="BNQ22" s="3"/>
      <c r="BNR22" s="3"/>
      <c r="BNS22" s="3"/>
      <c r="BNT22" s="3"/>
      <c r="BNU22" s="3"/>
      <c r="BNV22" s="3"/>
      <c r="BNW22" s="3"/>
      <c r="BNX22" s="3"/>
      <c r="BNY22" s="3"/>
      <c r="BNZ22" s="3"/>
      <c r="BOA22" s="3"/>
      <c r="BOB22" s="3"/>
      <c r="BOC22" s="3"/>
      <c r="BOD22" s="3"/>
      <c r="BOE22" s="3"/>
      <c r="BOF22" s="3"/>
      <c r="BOG22" s="3"/>
      <c r="BOH22" s="3"/>
      <c r="BOI22" s="3"/>
      <c r="BOJ22" s="3"/>
      <c r="BOK22" s="3"/>
      <c r="BOL22" s="3"/>
      <c r="BOM22" s="3"/>
      <c r="BON22" s="3"/>
      <c r="BOO22" s="3"/>
      <c r="BOP22" s="3"/>
      <c r="BOQ22" s="3"/>
      <c r="BOR22" s="3"/>
      <c r="BOS22" s="3"/>
      <c r="BOT22" s="3"/>
      <c r="BOU22" s="3"/>
      <c r="BOV22" s="3"/>
      <c r="BOW22" s="3"/>
      <c r="BOX22" s="3"/>
      <c r="BOY22" s="3"/>
      <c r="BOZ22" s="3"/>
      <c r="BPA22" s="3"/>
      <c r="BPB22" s="3"/>
      <c r="BPC22" s="3"/>
      <c r="BPD22" s="3"/>
      <c r="BPE22" s="3"/>
      <c r="BPF22" s="3"/>
      <c r="BPG22" s="3"/>
      <c r="BPH22" s="3"/>
      <c r="BPI22" s="3"/>
      <c r="BPJ22" s="3"/>
      <c r="BPK22" s="3"/>
      <c r="BPL22" s="3"/>
      <c r="BPM22" s="3"/>
      <c r="BPN22" s="3"/>
      <c r="BPO22" s="3"/>
      <c r="BPP22" s="3"/>
      <c r="BPQ22" s="3"/>
      <c r="BPR22" s="3"/>
      <c r="BPS22" s="3"/>
      <c r="BPT22" s="3"/>
      <c r="BPU22" s="3"/>
      <c r="BPV22" s="3"/>
      <c r="BPW22" s="3"/>
      <c r="BPX22" s="3"/>
      <c r="BPY22" s="3"/>
      <c r="BPZ22" s="3"/>
      <c r="BQA22" s="3"/>
      <c r="BQB22" s="3"/>
      <c r="BQC22" s="3"/>
      <c r="BQD22" s="3"/>
      <c r="BQE22" s="3"/>
      <c r="BQF22" s="3"/>
      <c r="BQG22" s="3"/>
      <c r="BQH22" s="3"/>
      <c r="BQI22" s="3"/>
      <c r="BQJ22" s="3"/>
      <c r="BQK22" s="3"/>
      <c r="BQL22" s="3"/>
      <c r="BQM22" s="3"/>
      <c r="BQN22" s="3"/>
      <c r="BQO22" s="3"/>
      <c r="BQP22" s="3"/>
      <c r="BQQ22" s="3"/>
      <c r="BQR22" s="3"/>
      <c r="BQS22" s="3"/>
      <c r="BQT22" s="3"/>
      <c r="BQU22" s="3"/>
      <c r="BQV22" s="3"/>
      <c r="BQW22" s="3"/>
      <c r="BQX22" s="3"/>
      <c r="BQY22" s="3"/>
      <c r="BQZ22" s="3"/>
      <c r="BRA22" s="3"/>
      <c r="BRB22" s="3"/>
      <c r="BRC22" s="3"/>
      <c r="BRD22" s="3"/>
      <c r="BRE22" s="3"/>
      <c r="BRF22" s="3"/>
      <c r="BRG22" s="3"/>
      <c r="BRH22" s="3"/>
      <c r="BRI22" s="3"/>
      <c r="BRJ22" s="3"/>
      <c r="BRK22" s="3"/>
      <c r="BRL22" s="3"/>
      <c r="BRM22" s="3"/>
      <c r="BRN22" s="3"/>
      <c r="BRO22" s="3"/>
      <c r="BRP22" s="3"/>
      <c r="BRQ22" s="3"/>
      <c r="BRR22" s="3"/>
      <c r="BRS22" s="3"/>
      <c r="BRT22" s="3"/>
      <c r="BRU22" s="3"/>
      <c r="BRV22" s="3"/>
      <c r="BRW22" s="3"/>
      <c r="BRX22" s="3"/>
      <c r="BRY22" s="3"/>
      <c r="BRZ22" s="3"/>
      <c r="BSA22" s="3"/>
      <c r="BSB22" s="3"/>
      <c r="BSC22" s="3"/>
      <c r="BSD22" s="3"/>
      <c r="BSE22" s="3"/>
      <c r="BSF22" s="3"/>
      <c r="BSG22" s="3"/>
      <c r="BSH22" s="3"/>
      <c r="BSI22" s="3"/>
      <c r="BSJ22" s="3"/>
      <c r="BSK22" s="3"/>
      <c r="BSL22" s="3"/>
      <c r="BSM22" s="3"/>
      <c r="BSN22" s="3"/>
      <c r="BSO22" s="3"/>
      <c r="BSP22" s="3"/>
      <c r="BSQ22" s="3"/>
      <c r="BSR22" s="3"/>
      <c r="BSS22" s="3"/>
      <c r="BST22" s="3"/>
      <c r="BSU22" s="3"/>
      <c r="BSV22" s="3"/>
      <c r="BSW22" s="3"/>
      <c r="BSX22" s="3"/>
      <c r="BSY22" s="3"/>
      <c r="BSZ22" s="3"/>
      <c r="BTA22" s="3"/>
      <c r="BTB22" s="3"/>
      <c r="BTC22" s="3"/>
      <c r="BTD22" s="3"/>
      <c r="BTE22" s="3"/>
      <c r="BTF22" s="3"/>
      <c r="BTG22" s="3"/>
      <c r="BTH22" s="3"/>
      <c r="BTI22" s="3"/>
      <c r="BTJ22" s="3"/>
      <c r="BTK22" s="3"/>
      <c r="BTL22" s="3"/>
      <c r="BTM22" s="3"/>
      <c r="BTN22" s="3"/>
      <c r="BTO22" s="3"/>
      <c r="BTP22" s="3"/>
      <c r="BTQ22" s="3"/>
      <c r="BTR22" s="3"/>
      <c r="BTS22" s="3"/>
      <c r="BTT22" s="3"/>
      <c r="BTU22" s="3"/>
      <c r="BTV22" s="3"/>
      <c r="BTW22" s="3"/>
      <c r="BTX22" s="3"/>
      <c r="BTY22" s="3"/>
      <c r="BTZ22" s="3"/>
      <c r="BUA22" s="3"/>
      <c r="BUB22" s="3"/>
      <c r="BUC22" s="3"/>
      <c r="BUD22" s="3"/>
      <c r="BUE22" s="3"/>
      <c r="BUF22" s="3"/>
      <c r="BUG22" s="3"/>
      <c r="BUH22" s="3"/>
      <c r="BUI22" s="3"/>
      <c r="BUJ22" s="3"/>
      <c r="BUK22" s="3"/>
      <c r="BUL22" s="3"/>
      <c r="BUM22" s="3"/>
      <c r="BUN22" s="3"/>
      <c r="BUO22" s="3"/>
      <c r="BUP22" s="3"/>
      <c r="BUQ22" s="3"/>
      <c r="BUR22" s="3"/>
      <c r="BUS22" s="3"/>
      <c r="BUT22" s="3"/>
      <c r="BUU22" s="3"/>
      <c r="BUV22" s="3"/>
      <c r="BUW22" s="3"/>
      <c r="BUX22" s="3"/>
      <c r="BUY22" s="3"/>
      <c r="BUZ22" s="3"/>
      <c r="BVA22" s="3"/>
      <c r="BVB22" s="3"/>
      <c r="BVC22" s="3"/>
      <c r="BVD22" s="3"/>
      <c r="BVE22" s="3"/>
      <c r="BVF22" s="3"/>
      <c r="BVG22" s="3"/>
      <c r="BVH22" s="3"/>
      <c r="BVI22" s="3"/>
      <c r="BVJ22" s="3"/>
      <c r="BVK22" s="3"/>
      <c r="BVL22" s="3"/>
      <c r="BVM22" s="3"/>
      <c r="BVN22" s="3"/>
      <c r="BVO22" s="3"/>
      <c r="BVP22" s="3"/>
      <c r="BVQ22" s="3"/>
      <c r="BVR22" s="3"/>
      <c r="BVS22" s="3"/>
      <c r="BVT22" s="3"/>
      <c r="BVU22" s="3"/>
      <c r="BVV22" s="3"/>
      <c r="BVW22" s="3"/>
      <c r="BVX22" s="3"/>
      <c r="BVY22" s="3"/>
      <c r="BVZ22" s="3"/>
      <c r="BWA22" s="3"/>
      <c r="BWB22" s="3"/>
      <c r="BWC22" s="3"/>
      <c r="BWD22" s="3"/>
      <c r="BWE22" s="3"/>
      <c r="BWF22" s="3"/>
      <c r="BWG22" s="3"/>
      <c r="BWH22" s="3"/>
      <c r="BWI22" s="3"/>
      <c r="BWJ22" s="3"/>
      <c r="BWK22" s="3"/>
      <c r="BWL22" s="3"/>
      <c r="BWM22" s="3"/>
      <c r="BWN22" s="3"/>
      <c r="BWO22" s="3"/>
      <c r="BWP22" s="3"/>
      <c r="BWQ22" s="3"/>
      <c r="BWR22" s="3"/>
      <c r="BWS22" s="3"/>
      <c r="BWT22" s="3"/>
      <c r="BWU22" s="3"/>
      <c r="BWV22" s="3"/>
      <c r="BWW22" s="3"/>
      <c r="BWX22" s="3"/>
      <c r="BWY22" s="3"/>
      <c r="BWZ22" s="3"/>
      <c r="BXA22" s="3"/>
      <c r="BXB22" s="3"/>
      <c r="BXC22" s="3"/>
      <c r="BXD22" s="3"/>
      <c r="BXE22" s="3"/>
      <c r="BXF22" s="3"/>
      <c r="BXG22" s="3"/>
      <c r="BXH22" s="3"/>
      <c r="BXI22" s="3"/>
      <c r="BXJ22" s="3"/>
      <c r="BXK22" s="3"/>
      <c r="BXL22" s="3"/>
      <c r="BXM22" s="3"/>
      <c r="BXN22" s="3"/>
      <c r="BXO22" s="3"/>
      <c r="BXP22" s="3"/>
      <c r="BXQ22" s="3"/>
      <c r="BXR22" s="3"/>
      <c r="BXS22" s="3"/>
      <c r="BXT22" s="3"/>
      <c r="BXU22" s="3"/>
      <c r="BXV22" s="3"/>
      <c r="BXW22" s="3"/>
      <c r="BXX22" s="3"/>
      <c r="BXY22" s="3"/>
      <c r="BXZ22" s="3"/>
      <c r="BYA22" s="3"/>
      <c r="BYB22" s="3"/>
      <c r="BYC22" s="3"/>
      <c r="BYD22" s="3"/>
      <c r="BYE22" s="3"/>
      <c r="BYF22" s="3"/>
      <c r="BYG22" s="3"/>
    </row>
    <row r="23" spans="1:2009" s="170" customFormat="1" ht="24.95" hidden="1" customHeight="1" thickBot="1" x14ac:dyDescent="0.3">
      <c r="A23" s="166"/>
      <c r="B23" s="167" t="s">
        <v>68</v>
      </c>
      <c r="C23" s="168"/>
      <c r="D23" s="168"/>
      <c r="E23" s="168"/>
      <c r="F23" s="168"/>
      <c r="G23" s="514"/>
      <c r="H23" s="169"/>
      <c r="I23" s="26"/>
      <c r="J23" s="169"/>
      <c r="K23" s="337"/>
      <c r="L23"/>
      <c r="M23"/>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169"/>
      <c r="BV23" s="169"/>
      <c r="BW23" s="169"/>
      <c r="BX23" s="169"/>
      <c r="BY23" s="169"/>
      <c r="BZ23" s="169"/>
      <c r="CA23" s="169"/>
      <c r="CB23" s="169"/>
      <c r="CC23" s="169"/>
      <c r="CD23" s="169"/>
      <c r="CE23" s="169"/>
      <c r="CF23" s="169"/>
      <c r="CG23" s="169"/>
      <c r="CH23" s="169"/>
      <c r="CI23" s="169"/>
      <c r="CJ23" s="169"/>
      <c r="CK23" s="169"/>
      <c r="CL23" s="169"/>
      <c r="CM23" s="169"/>
      <c r="CN23" s="169"/>
      <c r="CO23" s="169"/>
      <c r="CP23" s="169"/>
      <c r="CQ23" s="169"/>
      <c r="CR23" s="169"/>
      <c r="CS23" s="169"/>
      <c r="CT23" s="169"/>
      <c r="CU23" s="169"/>
      <c r="CV23" s="169"/>
      <c r="CW23" s="169"/>
      <c r="CX23" s="169"/>
      <c r="CY23" s="169"/>
      <c r="CZ23" s="169"/>
      <c r="DA23" s="169"/>
      <c r="DB23" s="169"/>
      <c r="DC23" s="169"/>
      <c r="DD23" s="169"/>
      <c r="DE23" s="169"/>
      <c r="DF23" s="169"/>
      <c r="DG23" s="169"/>
      <c r="DH23" s="169"/>
      <c r="DI23" s="169"/>
      <c r="DJ23" s="169"/>
      <c r="DK23" s="169"/>
      <c r="DL23" s="169"/>
      <c r="DM23" s="169"/>
      <c r="DN23" s="169"/>
      <c r="DO23" s="169"/>
      <c r="DP23" s="169"/>
      <c r="DQ23" s="169"/>
      <c r="DR23" s="169"/>
      <c r="DS23" s="169"/>
      <c r="DT23" s="169"/>
      <c r="DU23" s="169"/>
      <c r="DV23" s="169"/>
      <c r="DW23" s="169"/>
      <c r="DX23" s="169"/>
      <c r="DY23" s="169"/>
      <c r="DZ23" s="169"/>
      <c r="EA23" s="169"/>
      <c r="EB23" s="169"/>
      <c r="EC23" s="169"/>
      <c r="ED23" s="169"/>
      <c r="EE23" s="169"/>
      <c r="EF23" s="169"/>
      <c r="EG23" s="169"/>
      <c r="EH23" s="169"/>
      <c r="EI23" s="169"/>
      <c r="EJ23" s="169"/>
      <c r="EK23" s="169"/>
      <c r="EL23" s="169"/>
      <c r="EM23" s="169"/>
      <c r="EN23" s="169"/>
      <c r="EO23" s="169"/>
      <c r="EP23" s="169"/>
      <c r="EQ23" s="169"/>
      <c r="ER23" s="169"/>
      <c r="ES23" s="169"/>
      <c r="ET23" s="169"/>
      <c r="EU23" s="169"/>
      <c r="EV23" s="169"/>
      <c r="EW23" s="169"/>
      <c r="EX23" s="169"/>
      <c r="EY23" s="169"/>
      <c r="EZ23" s="169"/>
      <c r="FA23" s="169"/>
      <c r="FB23" s="169"/>
      <c r="FC23" s="169"/>
      <c r="FD23" s="169"/>
      <c r="FE23" s="169"/>
      <c r="FF23" s="169"/>
      <c r="FG23" s="169"/>
      <c r="FH23" s="169"/>
      <c r="FI23" s="169"/>
      <c r="FJ23" s="169"/>
      <c r="FK23" s="169"/>
      <c r="FL23" s="169"/>
      <c r="FM23" s="169"/>
      <c r="FN23" s="169"/>
      <c r="FO23" s="169"/>
      <c r="FP23" s="169"/>
      <c r="FQ23" s="169"/>
      <c r="FR23" s="169"/>
      <c r="FS23" s="169"/>
      <c r="FT23" s="169"/>
      <c r="FU23" s="169"/>
      <c r="FV23" s="169"/>
      <c r="FW23" s="169"/>
      <c r="FX23" s="169"/>
      <c r="FY23" s="169"/>
      <c r="FZ23" s="169"/>
      <c r="GA23" s="169"/>
      <c r="GB23" s="169"/>
      <c r="GC23" s="169"/>
      <c r="GD23" s="169"/>
      <c r="GE23" s="169"/>
      <c r="GF23" s="169"/>
      <c r="GG23" s="169"/>
      <c r="GH23" s="169"/>
      <c r="GI23" s="169"/>
      <c r="GJ23" s="169"/>
      <c r="GK23" s="169"/>
      <c r="GL23" s="169"/>
      <c r="GM23" s="169"/>
      <c r="GN23" s="169"/>
      <c r="GO23" s="169"/>
      <c r="GP23" s="169"/>
      <c r="GQ23" s="169"/>
      <c r="GR23" s="169"/>
      <c r="GS23" s="169"/>
      <c r="GT23" s="169"/>
      <c r="GU23" s="169"/>
      <c r="GV23" s="169"/>
      <c r="GW23" s="169"/>
      <c r="GX23" s="169"/>
      <c r="GY23" s="169"/>
      <c r="GZ23" s="169"/>
      <c r="HA23" s="169"/>
      <c r="HB23" s="169"/>
      <c r="HC23" s="169"/>
      <c r="HD23" s="169"/>
      <c r="HE23" s="169"/>
      <c r="HF23" s="169"/>
      <c r="HG23" s="169"/>
      <c r="HH23" s="169"/>
      <c r="HI23" s="169"/>
      <c r="HJ23" s="169"/>
      <c r="HK23" s="169"/>
      <c r="HL23" s="169"/>
      <c r="HM23" s="169"/>
      <c r="HN23" s="169"/>
      <c r="HO23" s="169"/>
      <c r="HP23" s="169"/>
      <c r="HQ23" s="169"/>
      <c r="HR23" s="169"/>
      <c r="HS23" s="169"/>
      <c r="HT23" s="169"/>
      <c r="HU23" s="169"/>
      <c r="HV23" s="169"/>
      <c r="HW23" s="169"/>
      <c r="HX23" s="169"/>
      <c r="HY23" s="169"/>
      <c r="HZ23" s="169"/>
      <c r="IA23" s="169"/>
      <c r="IB23" s="169"/>
      <c r="IC23" s="169"/>
      <c r="ID23" s="169"/>
      <c r="IE23" s="169"/>
      <c r="IF23" s="169"/>
      <c r="IG23" s="169"/>
      <c r="IH23" s="169"/>
      <c r="II23" s="169"/>
      <c r="IJ23" s="169"/>
      <c r="IK23" s="169"/>
      <c r="IL23" s="169"/>
      <c r="IM23" s="169"/>
      <c r="IN23" s="169"/>
      <c r="IO23" s="169"/>
      <c r="IP23" s="169"/>
      <c r="IQ23" s="169"/>
      <c r="IR23" s="169"/>
      <c r="IS23" s="169"/>
      <c r="IT23" s="169"/>
      <c r="IU23" s="169"/>
      <c r="IV23" s="169"/>
      <c r="IW23" s="169"/>
      <c r="IX23" s="169"/>
      <c r="IY23" s="169"/>
      <c r="IZ23" s="169"/>
      <c r="JA23" s="169"/>
      <c r="JB23" s="169"/>
      <c r="JC23" s="169"/>
      <c r="JD23" s="169"/>
      <c r="JE23" s="169"/>
      <c r="JF23" s="169"/>
      <c r="JG23" s="169"/>
      <c r="JH23" s="169"/>
      <c r="JI23" s="169"/>
      <c r="JJ23" s="169"/>
      <c r="JK23" s="169"/>
      <c r="JL23" s="169"/>
      <c r="JM23" s="169"/>
      <c r="JN23" s="169"/>
      <c r="JO23" s="169"/>
      <c r="JP23" s="169"/>
      <c r="JQ23" s="169"/>
      <c r="JR23" s="169"/>
      <c r="JS23" s="169"/>
      <c r="JT23" s="169"/>
      <c r="JU23" s="169"/>
      <c r="JV23" s="169"/>
      <c r="JW23" s="169"/>
      <c r="JX23" s="169"/>
      <c r="JY23" s="169"/>
      <c r="JZ23" s="169"/>
      <c r="KA23" s="169"/>
      <c r="KB23" s="169"/>
      <c r="KC23" s="169"/>
      <c r="KD23" s="169"/>
      <c r="KE23" s="169"/>
      <c r="KF23" s="169"/>
      <c r="KG23" s="169"/>
      <c r="KH23" s="169"/>
      <c r="KI23" s="169"/>
      <c r="KJ23" s="169"/>
      <c r="KK23" s="169"/>
      <c r="KL23" s="169"/>
      <c r="KM23" s="169"/>
      <c r="KN23" s="169"/>
      <c r="KO23" s="169"/>
      <c r="KP23" s="169"/>
      <c r="KQ23" s="169"/>
      <c r="KR23" s="169"/>
      <c r="KS23" s="169"/>
      <c r="KT23" s="169"/>
      <c r="KU23" s="169"/>
      <c r="KV23" s="169"/>
      <c r="KW23" s="169"/>
      <c r="KX23" s="169"/>
      <c r="KY23" s="169"/>
      <c r="KZ23" s="169"/>
      <c r="LA23" s="169"/>
      <c r="LB23" s="169"/>
      <c r="LC23" s="169"/>
      <c r="LD23" s="169"/>
      <c r="LE23" s="169"/>
      <c r="LF23" s="169"/>
      <c r="LG23" s="169"/>
      <c r="LH23" s="169"/>
      <c r="LI23" s="169"/>
      <c r="LJ23" s="169"/>
      <c r="LK23" s="169"/>
      <c r="LL23" s="169"/>
      <c r="LM23" s="169"/>
      <c r="LN23" s="169"/>
      <c r="LO23" s="169"/>
      <c r="LP23" s="169"/>
      <c r="LQ23" s="169"/>
      <c r="LR23" s="169"/>
      <c r="LS23" s="169"/>
      <c r="LT23" s="169"/>
      <c r="LU23" s="169"/>
      <c r="LV23" s="169"/>
      <c r="LW23" s="169"/>
      <c r="LX23" s="169"/>
      <c r="LY23" s="169"/>
      <c r="LZ23" s="169"/>
      <c r="MA23" s="169"/>
      <c r="MB23" s="169"/>
      <c r="MC23" s="169"/>
      <c r="MD23" s="169"/>
      <c r="ME23" s="169"/>
      <c r="MF23" s="169"/>
      <c r="MG23" s="169"/>
      <c r="MH23" s="169"/>
      <c r="MI23" s="169"/>
      <c r="MJ23" s="169"/>
      <c r="MK23" s="169"/>
      <c r="ML23" s="169"/>
      <c r="MM23" s="169"/>
      <c r="MN23" s="169"/>
      <c r="MO23" s="169"/>
      <c r="MP23" s="169"/>
      <c r="MQ23" s="169"/>
      <c r="MR23" s="169"/>
      <c r="MS23" s="169"/>
      <c r="MT23" s="169"/>
      <c r="MU23" s="169"/>
      <c r="MV23" s="169"/>
      <c r="MW23" s="169"/>
      <c r="MX23" s="169"/>
      <c r="MY23" s="169"/>
      <c r="MZ23" s="169"/>
      <c r="NA23" s="169"/>
      <c r="NB23" s="169"/>
      <c r="NC23" s="169"/>
      <c r="ND23" s="169"/>
      <c r="NE23" s="169"/>
      <c r="NF23" s="169"/>
      <c r="NG23" s="169"/>
      <c r="NH23" s="169"/>
      <c r="NI23" s="169"/>
      <c r="NJ23" s="169"/>
      <c r="NK23" s="169"/>
      <c r="NL23" s="169"/>
      <c r="NM23" s="169"/>
      <c r="NN23" s="169"/>
      <c r="NO23" s="169"/>
      <c r="NP23" s="169"/>
      <c r="NQ23" s="169"/>
      <c r="NR23" s="169"/>
      <c r="NS23" s="169"/>
      <c r="NT23" s="169"/>
      <c r="NU23" s="169"/>
      <c r="NV23" s="169"/>
      <c r="NW23" s="169"/>
      <c r="NX23" s="169"/>
      <c r="NY23" s="169"/>
      <c r="NZ23" s="169"/>
      <c r="OA23" s="169"/>
      <c r="OB23" s="169"/>
      <c r="OC23" s="169"/>
      <c r="OD23" s="169"/>
      <c r="OE23" s="169"/>
      <c r="OF23" s="169"/>
      <c r="OG23" s="169"/>
      <c r="OH23" s="169"/>
      <c r="OI23" s="169"/>
      <c r="OJ23" s="169"/>
      <c r="OK23" s="169"/>
      <c r="OL23" s="169"/>
      <c r="OM23" s="169"/>
      <c r="ON23" s="169"/>
      <c r="OO23" s="169"/>
      <c r="OP23" s="169"/>
      <c r="OQ23" s="169"/>
      <c r="OR23" s="169"/>
      <c r="OS23" s="169"/>
      <c r="OT23" s="169"/>
      <c r="OU23" s="169"/>
      <c r="OV23" s="169"/>
      <c r="OW23" s="169"/>
      <c r="OX23" s="169"/>
      <c r="OY23" s="169"/>
      <c r="OZ23" s="169"/>
      <c r="PA23" s="169"/>
      <c r="PB23" s="169"/>
      <c r="PC23" s="169"/>
      <c r="PD23" s="169"/>
      <c r="PE23" s="169"/>
      <c r="PF23" s="169"/>
      <c r="PG23" s="169"/>
      <c r="PH23" s="169"/>
      <c r="PI23" s="169"/>
      <c r="PJ23" s="169"/>
      <c r="PK23" s="169"/>
      <c r="PL23" s="169"/>
      <c r="PM23" s="169"/>
      <c r="PN23" s="169"/>
      <c r="PO23" s="169"/>
      <c r="PP23" s="169"/>
      <c r="PQ23" s="169"/>
      <c r="PR23" s="169"/>
      <c r="PS23" s="169"/>
      <c r="PT23" s="169"/>
      <c r="PU23" s="169"/>
      <c r="PV23" s="169"/>
      <c r="PW23" s="169"/>
      <c r="PX23" s="169"/>
      <c r="PY23" s="169"/>
      <c r="PZ23" s="169"/>
      <c r="QA23" s="169"/>
      <c r="QB23" s="169"/>
      <c r="QC23" s="169"/>
      <c r="QD23" s="169"/>
      <c r="QE23" s="169"/>
      <c r="QF23" s="169"/>
      <c r="QG23" s="169"/>
      <c r="QH23" s="169"/>
      <c r="QI23" s="169"/>
      <c r="QJ23" s="169"/>
      <c r="QK23" s="169"/>
      <c r="QL23" s="169"/>
      <c r="QM23" s="169"/>
      <c r="QN23" s="169"/>
      <c r="QO23" s="169"/>
      <c r="QP23" s="169"/>
      <c r="QQ23" s="169"/>
      <c r="QR23" s="169"/>
      <c r="QS23" s="169"/>
      <c r="QT23" s="169"/>
      <c r="QU23" s="169"/>
      <c r="QV23" s="169"/>
      <c r="QW23" s="169"/>
      <c r="QX23" s="169"/>
      <c r="QY23" s="169"/>
      <c r="QZ23" s="169"/>
      <c r="RA23" s="169"/>
      <c r="RB23" s="169"/>
      <c r="RC23" s="169"/>
      <c r="RD23" s="169"/>
      <c r="RE23" s="169"/>
      <c r="RF23" s="169"/>
      <c r="RG23" s="169"/>
      <c r="RH23" s="169"/>
      <c r="RI23" s="169"/>
      <c r="RJ23" s="169"/>
      <c r="RK23" s="169"/>
      <c r="RL23" s="169"/>
      <c r="RM23" s="169"/>
      <c r="RN23" s="169"/>
      <c r="RO23" s="169"/>
      <c r="RP23" s="169"/>
      <c r="RQ23" s="169"/>
      <c r="RR23" s="169"/>
      <c r="RS23" s="169"/>
      <c r="RT23" s="169"/>
      <c r="RU23" s="169"/>
      <c r="RV23" s="169"/>
      <c r="RW23" s="169"/>
      <c r="RX23" s="169"/>
      <c r="RY23" s="169"/>
      <c r="RZ23" s="169"/>
      <c r="SA23" s="169"/>
      <c r="SB23" s="169"/>
      <c r="SC23" s="169"/>
      <c r="SD23" s="169"/>
      <c r="SE23" s="169"/>
      <c r="SF23" s="169"/>
      <c r="SG23" s="169"/>
      <c r="SH23" s="169"/>
      <c r="SI23" s="169"/>
      <c r="SJ23" s="169"/>
      <c r="SK23" s="169"/>
      <c r="SL23" s="169"/>
      <c r="SM23" s="169"/>
      <c r="SN23" s="169"/>
      <c r="SO23" s="169"/>
      <c r="SP23" s="169"/>
      <c r="SQ23" s="169"/>
      <c r="SR23" s="169"/>
      <c r="SS23" s="169"/>
      <c r="ST23" s="169"/>
      <c r="SU23" s="169"/>
      <c r="SV23" s="169"/>
      <c r="SW23" s="169"/>
      <c r="SX23" s="169"/>
      <c r="SY23" s="169"/>
      <c r="SZ23" s="169"/>
      <c r="TA23" s="169"/>
      <c r="TB23" s="169"/>
      <c r="TC23" s="169"/>
      <c r="TD23" s="169"/>
      <c r="TE23" s="169"/>
      <c r="TF23" s="169"/>
      <c r="TG23" s="169"/>
      <c r="TH23" s="169"/>
      <c r="TI23" s="169"/>
      <c r="TJ23" s="169"/>
      <c r="TK23" s="169"/>
      <c r="TL23" s="169"/>
      <c r="TM23" s="169"/>
      <c r="TN23" s="169"/>
      <c r="TO23" s="169"/>
      <c r="TP23" s="169"/>
      <c r="TQ23" s="169"/>
      <c r="TR23" s="169"/>
      <c r="TS23" s="169"/>
      <c r="TT23" s="169"/>
      <c r="TU23" s="169"/>
      <c r="TV23" s="169"/>
      <c r="TW23" s="169"/>
      <c r="TX23" s="169"/>
      <c r="TY23" s="169"/>
      <c r="TZ23" s="169"/>
      <c r="UA23" s="169"/>
      <c r="UB23" s="169"/>
      <c r="UC23" s="169"/>
      <c r="UD23" s="169"/>
      <c r="UE23" s="169"/>
      <c r="UF23" s="169"/>
      <c r="UG23" s="169"/>
      <c r="UH23" s="169"/>
      <c r="UI23" s="169"/>
      <c r="UJ23" s="169"/>
      <c r="UK23" s="169"/>
      <c r="UL23" s="169"/>
      <c r="UM23" s="169"/>
      <c r="UN23" s="169"/>
      <c r="UO23" s="169"/>
      <c r="UP23" s="169"/>
      <c r="UQ23" s="169"/>
      <c r="UR23" s="169"/>
      <c r="US23" s="169"/>
      <c r="UT23" s="169"/>
      <c r="UU23" s="169"/>
      <c r="UV23" s="169"/>
      <c r="UW23" s="169"/>
      <c r="UX23" s="169"/>
      <c r="UY23" s="169"/>
      <c r="UZ23" s="169"/>
      <c r="VA23" s="169"/>
      <c r="VB23" s="169"/>
      <c r="VC23" s="169"/>
      <c r="VD23" s="169"/>
      <c r="VE23" s="169"/>
      <c r="VF23" s="169"/>
      <c r="VG23" s="169"/>
      <c r="VH23" s="169"/>
      <c r="VI23" s="169"/>
      <c r="VJ23" s="169"/>
      <c r="VK23" s="169"/>
      <c r="VL23" s="169"/>
      <c r="VM23" s="169"/>
      <c r="VN23" s="169"/>
      <c r="VO23" s="169"/>
      <c r="VP23" s="169"/>
      <c r="VQ23" s="169"/>
      <c r="VR23" s="169"/>
      <c r="VS23" s="169"/>
      <c r="VT23" s="169"/>
      <c r="VU23" s="169"/>
      <c r="VV23" s="169"/>
      <c r="VW23" s="169"/>
      <c r="VX23" s="169"/>
      <c r="VY23" s="169"/>
      <c r="VZ23" s="169"/>
      <c r="WA23" s="169"/>
      <c r="WB23" s="169"/>
      <c r="WC23" s="169"/>
      <c r="WD23" s="169"/>
      <c r="WE23" s="169"/>
      <c r="WF23" s="169"/>
      <c r="WG23" s="169"/>
      <c r="WH23" s="169"/>
      <c r="WI23" s="169"/>
      <c r="WJ23" s="169"/>
      <c r="WK23" s="169"/>
      <c r="WL23" s="169"/>
      <c r="WM23" s="169"/>
      <c r="WN23" s="169"/>
      <c r="WO23" s="169"/>
      <c r="WP23" s="169"/>
      <c r="WQ23" s="169"/>
      <c r="WR23" s="169"/>
      <c r="WS23" s="169"/>
      <c r="WT23" s="169"/>
      <c r="WU23" s="169"/>
      <c r="WV23" s="169"/>
      <c r="WW23" s="169"/>
      <c r="WX23" s="169"/>
      <c r="WY23" s="169"/>
      <c r="WZ23" s="169"/>
      <c r="XA23" s="169"/>
      <c r="XB23" s="169"/>
      <c r="XC23" s="169"/>
      <c r="XD23" s="169"/>
      <c r="XE23" s="169"/>
      <c r="XF23" s="169"/>
      <c r="XG23" s="169"/>
      <c r="XH23" s="169"/>
      <c r="XI23" s="169"/>
      <c r="XJ23" s="169"/>
      <c r="XK23" s="169"/>
      <c r="XL23" s="169"/>
      <c r="XM23" s="169"/>
      <c r="XN23" s="169"/>
      <c r="XO23" s="169"/>
      <c r="XP23" s="169"/>
      <c r="XQ23" s="169"/>
      <c r="XR23" s="169"/>
      <c r="XS23" s="169"/>
      <c r="XT23" s="169"/>
      <c r="XU23" s="169"/>
      <c r="XV23" s="169"/>
      <c r="XW23" s="169"/>
      <c r="XX23" s="169"/>
      <c r="XY23" s="169"/>
      <c r="XZ23" s="169"/>
      <c r="YA23" s="169"/>
      <c r="YB23" s="169"/>
      <c r="YC23" s="169"/>
      <c r="YD23" s="169"/>
      <c r="YE23" s="169"/>
      <c r="YF23" s="169"/>
      <c r="YG23" s="169"/>
      <c r="YH23" s="169"/>
      <c r="YI23" s="169"/>
      <c r="YJ23" s="169"/>
      <c r="YK23" s="169"/>
      <c r="YL23" s="169"/>
      <c r="YM23" s="169"/>
      <c r="YN23" s="169"/>
      <c r="YO23" s="169"/>
      <c r="YP23" s="169"/>
      <c r="YQ23" s="169"/>
      <c r="YR23" s="169"/>
      <c r="YS23" s="169"/>
      <c r="YT23" s="169"/>
      <c r="YU23" s="169"/>
      <c r="YV23" s="169"/>
      <c r="YW23" s="169"/>
      <c r="YX23" s="169"/>
      <c r="YY23" s="169"/>
      <c r="YZ23" s="169"/>
      <c r="ZA23" s="169"/>
      <c r="ZB23" s="169"/>
      <c r="ZC23" s="169"/>
      <c r="ZD23" s="169"/>
      <c r="ZE23" s="169"/>
      <c r="ZF23" s="169"/>
      <c r="ZG23" s="169"/>
      <c r="ZH23" s="169"/>
      <c r="ZI23" s="169"/>
      <c r="ZJ23" s="169"/>
      <c r="ZK23" s="169"/>
      <c r="ZL23" s="169"/>
      <c r="ZM23" s="169"/>
      <c r="ZN23" s="169"/>
      <c r="ZO23" s="169"/>
      <c r="ZP23" s="169"/>
      <c r="ZQ23" s="169"/>
      <c r="ZR23" s="169"/>
      <c r="ZS23" s="169"/>
      <c r="ZT23" s="169"/>
      <c r="ZU23" s="169"/>
      <c r="ZV23" s="169"/>
      <c r="ZW23" s="169"/>
      <c r="ZX23" s="169"/>
      <c r="ZY23" s="169"/>
      <c r="ZZ23" s="169"/>
      <c r="AAA23" s="169"/>
      <c r="AAB23" s="169"/>
      <c r="AAC23" s="169"/>
      <c r="AAD23" s="169"/>
      <c r="AAE23" s="169"/>
      <c r="AAF23" s="169"/>
      <c r="AAG23" s="169"/>
      <c r="AAH23" s="169"/>
      <c r="AAI23" s="169"/>
      <c r="AAJ23" s="169"/>
      <c r="AAK23" s="169"/>
      <c r="AAL23" s="169"/>
      <c r="AAM23" s="169"/>
      <c r="AAN23" s="169"/>
      <c r="AAO23" s="169"/>
      <c r="AAP23" s="169"/>
      <c r="AAQ23" s="169"/>
      <c r="AAR23" s="169"/>
      <c r="AAS23" s="169"/>
      <c r="AAT23" s="169"/>
      <c r="AAU23" s="169"/>
      <c r="AAV23" s="169"/>
      <c r="AAW23" s="169"/>
      <c r="AAX23" s="169"/>
      <c r="AAY23" s="169"/>
      <c r="AAZ23" s="169"/>
      <c r="ABA23" s="169"/>
      <c r="ABB23" s="169"/>
      <c r="ABC23" s="169"/>
      <c r="ABD23" s="169"/>
      <c r="ABE23" s="169"/>
      <c r="ABF23" s="169"/>
      <c r="ABG23" s="169"/>
      <c r="ABH23" s="169"/>
      <c r="ABI23" s="169"/>
      <c r="ABJ23" s="169"/>
      <c r="ABK23" s="169"/>
      <c r="ABL23" s="169"/>
      <c r="ABM23" s="169"/>
      <c r="ABN23" s="169"/>
      <c r="ABO23" s="169"/>
      <c r="ABP23" s="169"/>
      <c r="ABQ23" s="169"/>
      <c r="ABR23" s="169"/>
      <c r="ABS23" s="169"/>
      <c r="ABT23" s="169"/>
      <c r="ABU23" s="169"/>
      <c r="ABV23" s="169"/>
      <c r="ABW23" s="169"/>
      <c r="ABX23" s="169"/>
      <c r="ABY23" s="169"/>
      <c r="ABZ23" s="169"/>
      <c r="ACA23" s="169"/>
      <c r="ACB23" s="169"/>
      <c r="ACC23" s="169"/>
      <c r="ACD23" s="169"/>
      <c r="ACE23" s="169"/>
      <c r="ACF23" s="169"/>
      <c r="ACG23" s="169"/>
      <c r="ACH23" s="169"/>
      <c r="ACI23" s="169"/>
      <c r="ACJ23" s="169"/>
      <c r="ACK23" s="169"/>
      <c r="ACL23" s="169"/>
      <c r="ACM23" s="169"/>
      <c r="ACN23" s="169"/>
      <c r="ACO23" s="169"/>
      <c r="ACP23" s="169"/>
      <c r="ACQ23" s="169"/>
      <c r="ACR23" s="169"/>
      <c r="ACS23" s="169"/>
      <c r="ACT23" s="169"/>
      <c r="ACU23" s="169"/>
      <c r="ACV23" s="169"/>
      <c r="ACW23" s="169"/>
      <c r="ACX23" s="169"/>
      <c r="ACY23" s="169"/>
      <c r="ACZ23" s="169"/>
      <c r="ADA23" s="169"/>
      <c r="ADB23" s="169"/>
      <c r="ADC23" s="169"/>
      <c r="ADD23" s="169"/>
      <c r="ADE23" s="169"/>
      <c r="ADF23" s="169"/>
      <c r="ADG23" s="169"/>
      <c r="ADH23" s="169"/>
      <c r="ADI23" s="169"/>
      <c r="ADJ23" s="169"/>
      <c r="ADK23" s="169"/>
      <c r="ADL23" s="169"/>
      <c r="ADM23" s="169"/>
      <c r="ADN23" s="169"/>
      <c r="ADO23" s="169"/>
      <c r="ADP23" s="169"/>
      <c r="ADQ23" s="169"/>
      <c r="ADR23" s="169"/>
      <c r="ADS23" s="169"/>
      <c r="ADT23" s="169"/>
      <c r="ADU23" s="169"/>
      <c r="ADV23" s="169"/>
      <c r="ADW23" s="169"/>
      <c r="ADX23" s="169"/>
      <c r="ADY23" s="169"/>
      <c r="ADZ23" s="169"/>
      <c r="AEA23" s="169"/>
      <c r="AEB23" s="169"/>
      <c r="AEC23" s="169"/>
      <c r="AED23" s="169"/>
      <c r="AEE23" s="169"/>
      <c r="AEF23" s="169"/>
      <c r="AEG23" s="169"/>
      <c r="AEH23" s="169"/>
      <c r="AEI23" s="169"/>
      <c r="AEJ23" s="169"/>
      <c r="AEK23" s="169"/>
      <c r="AEL23" s="169"/>
      <c r="AEM23" s="169"/>
      <c r="AEN23" s="169"/>
      <c r="AEO23" s="169"/>
      <c r="AEP23" s="169"/>
      <c r="AEQ23" s="169"/>
      <c r="AER23" s="169"/>
      <c r="AES23" s="169"/>
      <c r="AET23" s="169"/>
      <c r="AEU23" s="169"/>
      <c r="AEV23" s="169"/>
      <c r="AEW23" s="169"/>
      <c r="AEX23" s="169"/>
      <c r="AEY23" s="169"/>
      <c r="AEZ23" s="169"/>
      <c r="AFA23" s="169"/>
      <c r="AFB23" s="169"/>
      <c r="AFC23" s="169"/>
      <c r="AFD23" s="169"/>
      <c r="AFE23" s="169"/>
      <c r="AFF23" s="169"/>
      <c r="AFG23" s="169"/>
      <c r="AFH23" s="169"/>
      <c r="AFI23" s="169"/>
      <c r="AFJ23" s="169"/>
      <c r="AFK23" s="169"/>
      <c r="AFL23" s="169"/>
      <c r="AFM23" s="169"/>
      <c r="AFN23" s="169"/>
      <c r="AFO23" s="169"/>
      <c r="AFP23" s="169"/>
      <c r="AFQ23" s="169"/>
      <c r="AFR23" s="169"/>
      <c r="AFS23" s="169"/>
      <c r="AFT23" s="169"/>
      <c r="AFU23" s="169"/>
      <c r="AFV23" s="169"/>
      <c r="AFW23" s="169"/>
      <c r="AFX23" s="169"/>
      <c r="AFY23" s="169"/>
      <c r="AFZ23" s="169"/>
      <c r="AGA23" s="169"/>
      <c r="AGB23" s="169"/>
      <c r="AGC23" s="169"/>
      <c r="AGD23" s="169"/>
      <c r="AGE23" s="169"/>
      <c r="AGF23" s="169"/>
      <c r="AGG23" s="169"/>
      <c r="AGH23" s="169"/>
      <c r="AGI23" s="169"/>
      <c r="AGJ23" s="169"/>
      <c r="AGK23" s="169"/>
      <c r="AGL23" s="169"/>
      <c r="AGM23" s="169"/>
      <c r="AGN23" s="169"/>
      <c r="AGO23" s="169"/>
      <c r="AGP23" s="169"/>
      <c r="AGQ23" s="169"/>
      <c r="AGR23" s="169"/>
      <c r="AGS23" s="169"/>
      <c r="AGT23" s="169"/>
      <c r="AGU23" s="169"/>
      <c r="AGV23" s="169"/>
      <c r="AGW23" s="169"/>
      <c r="AGX23" s="169"/>
      <c r="AGY23" s="169"/>
      <c r="AGZ23" s="169"/>
      <c r="AHA23" s="169"/>
      <c r="AHB23" s="169"/>
      <c r="AHC23" s="169"/>
      <c r="AHD23" s="169"/>
      <c r="AHE23" s="169"/>
      <c r="AHF23" s="169"/>
      <c r="AHG23" s="169"/>
      <c r="AHH23" s="169"/>
      <c r="AHI23" s="169"/>
      <c r="AHJ23" s="169"/>
      <c r="AHK23" s="169"/>
      <c r="AHL23" s="169"/>
      <c r="AHM23" s="169"/>
      <c r="AHN23" s="169"/>
      <c r="AHO23" s="169"/>
      <c r="AHP23" s="169"/>
      <c r="AHQ23" s="169"/>
      <c r="AHR23" s="169"/>
      <c r="AHS23" s="169"/>
      <c r="AHT23" s="169"/>
      <c r="AHU23" s="169"/>
      <c r="AHV23" s="169"/>
      <c r="AHW23" s="169"/>
      <c r="AHX23" s="169"/>
      <c r="AHY23" s="169"/>
      <c r="AHZ23" s="169"/>
      <c r="AIA23" s="169"/>
      <c r="AIB23" s="169"/>
      <c r="AIC23" s="169"/>
      <c r="AID23" s="169"/>
      <c r="AIE23" s="169"/>
      <c r="AIF23" s="169"/>
      <c r="AIG23" s="169"/>
      <c r="AIH23" s="169"/>
      <c r="AII23" s="169"/>
      <c r="AIJ23" s="169"/>
      <c r="AIK23" s="169"/>
      <c r="AIL23" s="169"/>
      <c r="AIM23" s="169"/>
      <c r="AIN23" s="169"/>
      <c r="AIO23" s="169"/>
      <c r="AIP23" s="169"/>
      <c r="AIQ23" s="169"/>
      <c r="AIR23" s="169"/>
      <c r="AIS23" s="169"/>
      <c r="AIT23" s="169"/>
      <c r="AIU23" s="169"/>
      <c r="AIV23" s="169"/>
      <c r="AIW23" s="169"/>
      <c r="AIX23" s="169"/>
      <c r="AIY23" s="169"/>
      <c r="AIZ23" s="169"/>
      <c r="AJA23" s="169"/>
      <c r="AJB23" s="169"/>
      <c r="AJC23" s="169"/>
      <c r="AJD23" s="169"/>
      <c r="AJE23" s="169"/>
      <c r="AJF23" s="169"/>
      <c r="AJG23" s="169"/>
      <c r="AJH23" s="169"/>
      <c r="AJI23" s="169"/>
      <c r="AJJ23" s="169"/>
      <c r="AJK23" s="169"/>
      <c r="AJL23" s="169"/>
      <c r="AJM23" s="169"/>
      <c r="AJN23" s="169"/>
      <c r="AJO23" s="169"/>
      <c r="AJP23" s="169"/>
      <c r="AJQ23" s="169"/>
      <c r="AJR23" s="169"/>
      <c r="AJS23" s="169"/>
      <c r="AJT23" s="169"/>
      <c r="AJU23" s="169"/>
      <c r="AJV23" s="169"/>
      <c r="AJW23" s="169"/>
      <c r="AJX23" s="169"/>
      <c r="AJY23" s="169"/>
      <c r="AJZ23" s="169"/>
      <c r="AKA23" s="169"/>
      <c r="AKB23" s="169"/>
      <c r="AKC23" s="169"/>
      <c r="AKD23" s="169"/>
      <c r="AKE23" s="169"/>
      <c r="AKF23" s="169"/>
      <c r="AKG23" s="169"/>
      <c r="AKH23" s="169"/>
      <c r="AKI23" s="169"/>
      <c r="AKJ23" s="169"/>
      <c r="AKK23" s="169"/>
      <c r="AKL23" s="169"/>
      <c r="AKM23" s="169"/>
      <c r="AKN23" s="169"/>
      <c r="AKO23" s="169"/>
      <c r="AKP23" s="169"/>
      <c r="AKQ23" s="169"/>
      <c r="AKR23" s="169"/>
      <c r="AKS23" s="169"/>
      <c r="AKT23" s="169"/>
      <c r="AKU23" s="169"/>
      <c r="AKV23" s="169"/>
      <c r="AKW23" s="169"/>
      <c r="AKX23" s="169"/>
      <c r="AKY23" s="169"/>
      <c r="AKZ23" s="169"/>
      <c r="ALA23" s="169"/>
      <c r="ALB23" s="169"/>
      <c r="ALC23" s="169"/>
      <c r="ALD23" s="169"/>
      <c r="ALE23" s="169"/>
      <c r="ALF23" s="169"/>
      <c r="ALG23" s="169"/>
      <c r="ALH23" s="169"/>
      <c r="ALI23" s="169"/>
      <c r="ALJ23" s="169"/>
      <c r="ALK23" s="169"/>
      <c r="ALL23" s="169"/>
      <c r="ALM23" s="169"/>
      <c r="ALN23" s="169"/>
      <c r="ALO23" s="169"/>
      <c r="ALP23" s="169"/>
      <c r="ALQ23" s="169"/>
      <c r="ALR23" s="169"/>
      <c r="ALS23" s="169"/>
      <c r="ALT23" s="169"/>
      <c r="ALU23" s="169"/>
      <c r="ALV23" s="169"/>
      <c r="ALW23" s="169"/>
      <c r="ALX23" s="169"/>
      <c r="ALY23" s="169"/>
      <c r="ALZ23" s="169"/>
      <c r="AMA23" s="169"/>
      <c r="AMB23" s="169"/>
      <c r="AMC23" s="169"/>
      <c r="AMD23" s="169"/>
      <c r="AME23" s="169"/>
      <c r="AMF23" s="169"/>
      <c r="AMG23" s="169"/>
      <c r="AMH23" s="169"/>
      <c r="AMI23" s="169"/>
      <c r="AMJ23" s="169"/>
      <c r="AMK23" s="169"/>
      <c r="AML23" s="169"/>
      <c r="AMM23" s="169"/>
      <c r="AMN23" s="169"/>
      <c r="AMO23" s="169"/>
      <c r="AMP23" s="169"/>
      <c r="AMQ23" s="169"/>
      <c r="AMR23" s="169"/>
      <c r="AMS23" s="169"/>
      <c r="AMT23" s="169"/>
      <c r="AMU23" s="169"/>
      <c r="AMV23" s="169"/>
      <c r="AMW23" s="169"/>
      <c r="AMX23" s="169"/>
      <c r="AMY23" s="169"/>
      <c r="AMZ23" s="169"/>
      <c r="ANA23" s="169"/>
      <c r="ANB23" s="169"/>
      <c r="ANC23" s="169"/>
      <c r="AND23" s="169"/>
      <c r="ANE23" s="169"/>
      <c r="ANF23" s="169"/>
      <c r="ANG23" s="169"/>
      <c r="ANH23" s="169"/>
      <c r="ANI23" s="169"/>
      <c r="ANJ23" s="169"/>
      <c r="ANK23" s="169"/>
      <c r="ANL23" s="169"/>
      <c r="ANM23" s="169"/>
      <c r="ANN23" s="169"/>
      <c r="ANO23" s="169"/>
      <c r="ANP23" s="169"/>
      <c r="ANQ23" s="169"/>
      <c r="ANR23" s="169"/>
      <c r="ANS23" s="169"/>
      <c r="ANT23" s="169"/>
      <c r="ANU23" s="169"/>
      <c r="ANV23" s="169"/>
      <c r="ANW23" s="169"/>
      <c r="ANX23" s="169"/>
      <c r="ANY23" s="169"/>
      <c r="ANZ23" s="169"/>
      <c r="AOA23" s="169"/>
      <c r="AOB23" s="169"/>
      <c r="AOC23" s="169"/>
      <c r="AOD23" s="169"/>
      <c r="AOE23" s="169"/>
      <c r="AOF23" s="169"/>
      <c r="AOG23" s="169"/>
      <c r="AOH23" s="169"/>
      <c r="AOI23" s="169"/>
      <c r="AOJ23" s="169"/>
      <c r="AOK23" s="169"/>
      <c r="AOL23" s="169"/>
      <c r="AOM23" s="169"/>
      <c r="AON23" s="169"/>
      <c r="AOO23" s="169"/>
      <c r="AOP23" s="169"/>
      <c r="AOQ23" s="169"/>
      <c r="AOR23" s="169"/>
      <c r="AOS23" s="169"/>
      <c r="AOT23" s="169"/>
      <c r="AOU23" s="169"/>
      <c r="AOV23" s="169"/>
      <c r="AOW23" s="169"/>
      <c r="AOX23" s="169"/>
      <c r="AOY23" s="169"/>
      <c r="AOZ23" s="169"/>
      <c r="APA23" s="169"/>
      <c r="APB23" s="169"/>
      <c r="APC23" s="169"/>
      <c r="APD23" s="169"/>
      <c r="APE23" s="169"/>
      <c r="APF23" s="169"/>
      <c r="APG23" s="169"/>
      <c r="APH23" s="169"/>
      <c r="API23" s="169"/>
      <c r="APJ23" s="169"/>
      <c r="APK23" s="169"/>
      <c r="APL23" s="169"/>
      <c r="APM23" s="169"/>
      <c r="APN23" s="169"/>
      <c r="APO23" s="169"/>
      <c r="APP23" s="169"/>
      <c r="APQ23" s="169"/>
      <c r="APR23" s="169"/>
      <c r="APS23" s="169"/>
      <c r="APT23" s="169"/>
      <c r="APU23" s="169"/>
      <c r="APV23" s="169"/>
      <c r="APW23" s="169"/>
      <c r="APX23" s="169"/>
      <c r="APY23" s="169"/>
      <c r="APZ23" s="169"/>
      <c r="AQA23" s="169"/>
      <c r="AQB23" s="169"/>
      <c r="AQC23" s="169"/>
      <c r="AQD23" s="169"/>
      <c r="AQE23" s="169"/>
      <c r="AQF23" s="169"/>
      <c r="AQG23" s="169"/>
      <c r="AQH23" s="169"/>
      <c r="AQI23" s="169"/>
      <c r="AQJ23" s="169"/>
      <c r="AQK23" s="169"/>
      <c r="AQL23" s="169"/>
      <c r="AQM23" s="169"/>
      <c r="AQN23" s="169"/>
      <c r="AQO23" s="169"/>
      <c r="AQP23" s="169"/>
      <c r="AQQ23" s="169"/>
      <c r="AQR23" s="169"/>
      <c r="AQS23" s="169"/>
      <c r="AQT23" s="169"/>
      <c r="AQU23" s="169"/>
      <c r="AQV23" s="169"/>
      <c r="AQW23" s="169"/>
      <c r="AQX23" s="169"/>
      <c r="AQY23" s="169"/>
      <c r="AQZ23" s="169"/>
      <c r="ARA23" s="169"/>
      <c r="ARB23" s="169"/>
      <c r="ARC23" s="169"/>
      <c r="ARD23" s="169"/>
      <c r="ARE23" s="169"/>
      <c r="ARF23" s="169"/>
      <c r="ARG23" s="169"/>
      <c r="ARH23" s="169"/>
      <c r="ARI23" s="169"/>
      <c r="ARJ23" s="169"/>
      <c r="ARK23" s="169"/>
      <c r="ARL23" s="169"/>
      <c r="ARM23" s="169"/>
      <c r="ARN23" s="169"/>
      <c r="ARO23" s="169"/>
      <c r="ARP23" s="169"/>
      <c r="ARQ23" s="169"/>
      <c r="ARR23" s="169"/>
      <c r="ARS23" s="169"/>
      <c r="ART23" s="169"/>
      <c r="ARU23" s="169"/>
      <c r="ARV23" s="169"/>
      <c r="ARW23" s="169"/>
      <c r="ARX23" s="169"/>
      <c r="ARY23" s="169"/>
      <c r="ARZ23" s="169"/>
      <c r="ASA23" s="169"/>
      <c r="ASB23" s="169"/>
      <c r="ASC23" s="169"/>
      <c r="ASD23" s="169"/>
      <c r="ASE23" s="169"/>
      <c r="ASF23" s="169"/>
      <c r="ASG23" s="169"/>
      <c r="ASH23" s="169"/>
      <c r="ASI23" s="169"/>
      <c r="ASJ23" s="169"/>
      <c r="ASK23" s="169"/>
      <c r="ASL23" s="169"/>
      <c r="ASM23" s="169"/>
      <c r="ASN23" s="169"/>
      <c r="ASO23" s="169"/>
      <c r="ASP23" s="169"/>
      <c r="ASQ23" s="169"/>
      <c r="ASR23" s="169"/>
      <c r="ASS23" s="169"/>
      <c r="AST23" s="169"/>
      <c r="ASU23" s="169"/>
      <c r="ASV23" s="169"/>
      <c r="ASW23" s="169"/>
      <c r="ASX23" s="169"/>
      <c r="ASY23" s="169"/>
      <c r="ASZ23" s="169"/>
      <c r="ATA23" s="169"/>
      <c r="ATB23" s="169"/>
      <c r="ATC23" s="169"/>
      <c r="ATD23" s="169"/>
      <c r="ATE23" s="169"/>
      <c r="ATF23" s="169"/>
      <c r="ATG23" s="169"/>
      <c r="ATH23" s="169"/>
      <c r="ATI23" s="169"/>
      <c r="ATJ23" s="169"/>
      <c r="ATK23" s="169"/>
      <c r="ATL23" s="169"/>
      <c r="ATM23" s="169"/>
      <c r="ATN23" s="169"/>
      <c r="ATO23" s="169"/>
      <c r="ATP23" s="169"/>
      <c r="ATQ23" s="169"/>
      <c r="ATR23" s="169"/>
      <c r="ATS23" s="169"/>
      <c r="ATT23" s="169"/>
      <c r="ATU23" s="169"/>
      <c r="ATV23" s="169"/>
      <c r="ATW23" s="169"/>
      <c r="ATX23" s="169"/>
      <c r="ATY23" s="169"/>
      <c r="ATZ23" s="169"/>
      <c r="AUA23" s="169"/>
      <c r="AUB23" s="169"/>
      <c r="AUC23" s="169"/>
      <c r="AUD23" s="169"/>
      <c r="AUE23" s="169"/>
      <c r="AUF23" s="169"/>
      <c r="AUG23" s="169"/>
      <c r="AUH23" s="169"/>
      <c r="AUI23" s="169"/>
      <c r="AUJ23" s="169"/>
      <c r="AUK23" s="169"/>
      <c r="AUL23" s="169"/>
      <c r="AUM23" s="169"/>
      <c r="AUN23" s="169"/>
      <c r="AUO23" s="169"/>
      <c r="AUP23" s="169"/>
      <c r="AUQ23" s="169"/>
      <c r="AUR23" s="169"/>
      <c r="AUS23" s="169"/>
      <c r="AUT23" s="169"/>
      <c r="AUU23" s="169"/>
      <c r="AUV23" s="169"/>
      <c r="AUW23" s="169"/>
      <c r="AUX23" s="169"/>
      <c r="AUY23" s="169"/>
      <c r="AUZ23" s="169"/>
      <c r="AVA23" s="169"/>
      <c r="AVB23" s="169"/>
      <c r="AVC23" s="169"/>
      <c r="AVD23" s="169"/>
      <c r="AVE23" s="169"/>
      <c r="AVF23" s="169"/>
      <c r="AVG23" s="169"/>
      <c r="AVH23" s="169"/>
      <c r="AVI23" s="169"/>
      <c r="AVJ23" s="169"/>
      <c r="AVK23" s="169"/>
      <c r="AVL23" s="169"/>
      <c r="AVM23" s="169"/>
      <c r="AVN23" s="169"/>
      <c r="AVO23" s="169"/>
      <c r="AVP23" s="169"/>
      <c r="AVQ23" s="169"/>
      <c r="AVR23" s="169"/>
      <c r="AVS23" s="169"/>
      <c r="AVT23" s="169"/>
      <c r="AVU23" s="169"/>
      <c r="AVV23" s="169"/>
      <c r="AVW23" s="169"/>
      <c r="AVX23" s="169"/>
      <c r="AVY23" s="169"/>
      <c r="AVZ23" s="169"/>
      <c r="AWA23" s="169"/>
      <c r="AWB23" s="169"/>
      <c r="AWC23" s="169"/>
      <c r="AWD23" s="169"/>
      <c r="AWE23" s="169"/>
      <c r="AWF23" s="169"/>
      <c r="AWG23" s="169"/>
      <c r="AWH23" s="169"/>
      <c r="AWI23" s="169"/>
      <c r="AWJ23" s="169"/>
      <c r="AWK23" s="169"/>
      <c r="AWL23" s="169"/>
      <c r="AWM23" s="169"/>
      <c r="AWN23" s="169"/>
      <c r="AWO23" s="169"/>
      <c r="AWP23" s="169"/>
      <c r="AWQ23" s="169"/>
      <c r="AWR23" s="169"/>
      <c r="AWS23" s="169"/>
      <c r="AWT23" s="169"/>
      <c r="AWU23" s="169"/>
      <c r="AWV23" s="169"/>
      <c r="AWW23" s="169"/>
      <c r="AWX23" s="169"/>
      <c r="AWY23" s="169"/>
      <c r="AWZ23" s="169"/>
      <c r="AXA23" s="169"/>
      <c r="AXB23" s="169"/>
      <c r="AXC23" s="169"/>
      <c r="AXD23" s="169"/>
      <c r="AXE23" s="169"/>
      <c r="AXF23" s="169"/>
      <c r="AXG23" s="169"/>
      <c r="AXH23" s="169"/>
      <c r="AXI23" s="169"/>
      <c r="AXJ23" s="169"/>
      <c r="AXK23" s="169"/>
      <c r="AXL23" s="169"/>
      <c r="AXM23" s="169"/>
      <c r="AXN23" s="169"/>
      <c r="AXO23" s="169"/>
      <c r="AXP23" s="169"/>
      <c r="AXQ23" s="169"/>
      <c r="AXR23" s="169"/>
      <c r="AXS23" s="169"/>
      <c r="AXT23" s="169"/>
      <c r="AXU23" s="169"/>
      <c r="AXV23" s="169"/>
      <c r="AXW23" s="169"/>
      <c r="AXX23" s="169"/>
      <c r="AXY23" s="169"/>
      <c r="AXZ23" s="169"/>
      <c r="AYA23" s="169"/>
      <c r="AYB23" s="169"/>
      <c r="AYC23" s="169"/>
      <c r="AYD23" s="169"/>
      <c r="AYE23" s="169"/>
      <c r="AYF23" s="169"/>
      <c r="AYG23" s="169"/>
      <c r="AYH23" s="169"/>
      <c r="AYI23" s="169"/>
      <c r="AYJ23" s="169"/>
      <c r="AYK23" s="169"/>
      <c r="AYL23" s="169"/>
      <c r="AYM23" s="169"/>
      <c r="AYN23" s="169"/>
      <c r="AYO23" s="169"/>
      <c r="AYP23" s="169"/>
      <c r="AYQ23" s="169"/>
      <c r="AYR23" s="169"/>
      <c r="AYS23" s="169"/>
      <c r="AYT23" s="169"/>
      <c r="AYU23" s="169"/>
      <c r="AYV23" s="169"/>
      <c r="AYW23" s="169"/>
      <c r="AYX23" s="169"/>
      <c r="AYY23" s="169"/>
      <c r="AYZ23" s="169"/>
      <c r="AZA23" s="169"/>
      <c r="AZB23" s="169"/>
      <c r="AZC23" s="169"/>
      <c r="AZD23" s="169"/>
      <c r="AZE23" s="169"/>
      <c r="AZF23" s="169"/>
      <c r="AZG23" s="169"/>
      <c r="AZH23" s="169"/>
      <c r="AZI23" s="169"/>
      <c r="AZJ23" s="169"/>
      <c r="AZK23" s="169"/>
      <c r="AZL23" s="169"/>
      <c r="AZM23" s="169"/>
      <c r="AZN23" s="169"/>
      <c r="AZO23" s="169"/>
      <c r="AZP23" s="169"/>
      <c r="AZQ23" s="169"/>
      <c r="AZR23" s="169"/>
      <c r="AZS23" s="169"/>
      <c r="AZT23" s="169"/>
      <c r="AZU23" s="169"/>
      <c r="AZV23" s="169"/>
      <c r="AZW23" s="169"/>
      <c r="AZX23" s="169"/>
      <c r="AZY23" s="169"/>
      <c r="AZZ23" s="169"/>
      <c r="BAA23" s="169"/>
      <c r="BAB23" s="169"/>
      <c r="BAC23" s="169"/>
      <c r="BAD23" s="169"/>
      <c r="BAE23" s="169"/>
      <c r="BAF23" s="169"/>
      <c r="BAG23" s="169"/>
      <c r="BAH23" s="169"/>
      <c r="BAI23" s="169"/>
      <c r="BAJ23" s="169"/>
      <c r="BAK23" s="169"/>
      <c r="BAL23" s="169"/>
      <c r="BAM23" s="169"/>
      <c r="BAN23" s="169"/>
      <c r="BAO23" s="169"/>
      <c r="BAP23" s="169"/>
      <c r="BAQ23" s="169"/>
      <c r="BAR23" s="169"/>
      <c r="BAS23" s="169"/>
      <c r="BAT23" s="169"/>
      <c r="BAU23" s="169"/>
      <c r="BAV23" s="169"/>
      <c r="BAW23" s="169"/>
      <c r="BAX23" s="169"/>
      <c r="BAY23" s="169"/>
      <c r="BAZ23" s="169"/>
      <c r="BBA23" s="169"/>
      <c r="BBB23" s="169"/>
      <c r="BBC23" s="169"/>
      <c r="BBD23" s="169"/>
      <c r="BBE23" s="169"/>
      <c r="BBF23" s="169"/>
      <c r="BBG23" s="169"/>
      <c r="BBH23" s="169"/>
      <c r="BBI23" s="169"/>
      <c r="BBJ23" s="169"/>
      <c r="BBK23" s="169"/>
      <c r="BBL23" s="169"/>
      <c r="BBM23" s="169"/>
      <c r="BBN23" s="169"/>
      <c r="BBO23" s="169"/>
      <c r="BBP23" s="169"/>
      <c r="BBQ23" s="169"/>
      <c r="BBR23" s="169"/>
      <c r="BBS23" s="169"/>
      <c r="BBT23" s="169"/>
      <c r="BBU23" s="169"/>
      <c r="BBV23" s="169"/>
      <c r="BBW23" s="169"/>
      <c r="BBX23" s="169"/>
      <c r="BBY23" s="169"/>
      <c r="BBZ23" s="169"/>
      <c r="BCA23" s="169"/>
      <c r="BCB23" s="169"/>
      <c r="BCC23" s="169"/>
      <c r="BCD23" s="169"/>
      <c r="BCE23" s="169"/>
      <c r="BCF23" s="169"/>
      <c r="BCG23" s="169"/>
      <c r="BCH23" s="169"/>
      <c r="BCI23" s="169"/>
      <c r="BCJ23" s="169"/>
      <c r="BCK23" s="169"/>
      <c r="BCL23" s="169"/>
      <c r="BCM23" s="169"/>
      <c r="BCN23" s="169"/>
      <c r="BCO23" s="169"/>
      <c r="BCP23" s="169"/>
      <c r="BCQ23" s="169"/>
      <c r="BCR23" s="169"/>
      <c r="BCS23" s="169"/>
      <c r="BCT23" s="169"/>
      <c r="BCU23" s="169"/>
      <c r="BCV23" s="169"/>
      <c r="BCW23" s="169"/>
      <c r="BCX23" s="169"/>
      <c r="BCY23" s="169"/>
      <c r="BCZ23" s="169"/>
      <c r="BDA23" s="169"/>
      <c r="BDB23" s="169"/>
      <c r="BDC23" s="169"/>
      <c r="BDD23" s="169"/>
      <c r="BDE23" s="169"/>
      <c r="BDF23" s="169"/>
      <c r="BDG23" s="169"/>
      <c r="BDH23" s="169"/>
      <c r="BDI23" s="169"/>
      <c r="BDJ23" s="169"/>
      <c r="BDK23" s="169"/>
      <c r="BDL23" s="169"/>
      <c r="BDM23" s="169"/>
      <c r="BDN23" s="169"/>
      <c r="BDO23" s="169"/>
      <c r="BDP23" s="169"/>
      <c r="BDQ23" s="169"/>
      <c r="BDR23" s="169"/>
      <c r="BDS23" s="169"/>
      <c r="BDT23" s="169"/>
      <c r="BDU23" s="169"/>
      <c r="BDV23" s="169"/>
      <c r="BDW23" s="169"/>
      <c r="BDX23" s="169"/>
      <c r="BDY23" s="169"/>
      <c r="BDZ23" s="169"/>
      <c r="BEA23" s="169"/>
      <c r="BEB23" s="169"/>
      <c r="BEC23" s="169"/>
      <c r="BED23" s="169"/>
      <c r="BEE23" s="169"/>
      <c r="BEF23" s="169"/>
      <c r="BEG23" s="169"/>
      <c r="BEH23" s="169"/>
      <c r="BEI23" s="169"/>
      <c r="BEJ23" s="169"/>
      <c r="BEK23" s="169"/>
      <c r="BEL23" s="169"/>
      <c r="BEM23" s="169"/>
      <c r="BEN23" s="169"/>
      <c r="BEO23" s="169"/>
      <c r="BEP23" s="169"/>
      <c r="BEQ23" s="169"/>
      <c r="BER23" s="169"/>
      <c r="BES23" s="169"/>
      <c r="BET23" s="169"/>
      <c r="BEU23" s="169"/>
      <c r="BEV23" s="169"/>
      <c r="BEW23" s="169"/>
      <c r="BEX23" s="169"/>
      <c r="BEY23" s="169"/>
      <c r="BEZ23" s="169"/>
      <c r="BFA23" s="169"/>
      <c r="BFB23" s="169"/>
      <c r="BFC23" s="169"/>
      <c r="BFD23" s="169"/>
      <c r="BFE23" s="169"/>
      <c r="BFF23" s="169"/>
      <c r="BFG23" s="169"/>
      <c r="BFH23" s="169"/>
      <c r="BFI23" s="169"/>
      <c r="BFJ23" s="169"/>
      <c r="BFK23" s="169"/>
      <c r="BFL23" s="169"/>
      <c r="BFM23" s="169"/>
      <c r="BFN23" s="169"/>
      <c r="BFO23" s="169"/>
      <c r="BFP23" s="169"/>
      <c r="BFQ23" s="169"/>
      <c r="BFR23" s="169"/>
      <c r="BFS23" s="169"/>
      <c r="BFT23" s="169"/>
      <c r="BFU23" s="169"/>
      <c r="BFV23" s="169"/>
      <c r="BFW23" s="169"/>
      <c r="BFX23" s="169"/>
      <c r="BFY23" s="169"/>
      <c r="BFZ23" s="169"/>
      <c r="BGA23" s="169"/>
      <c r="BGB23" s="169"/>
      <c r="BGC23" s="169"/>
      <c r="BGD23" s="169"/>
      <c r="BGE23" s="169"/>
      <c r="BGF23" s="169"/>
      <c r="BGG23" s="169"/>
      <c r="BGH23" s="169"/>
      <c r="BGI23" s="169"/>
      <c r="BGJ23" s="169"/>
      <c r="BGK23" s="169"/>
      <c r="BGL23" s="169"/>
      <c r="BGM23" s="169"/>
      <c r="BGN23" s="169"/>
      <c r="BGO23" s="169"/>
      <c r="BGP23" s="169"/>
      <c r="BGQ23" s="169"/>
      <c r="BGR23" s="169"/>
      <c r="BGS23" s="169"/>
      <c r="BGT23" s="169"/>
      <c r="BGU23" s="169"/>
      <c r="BGV23" s="169"/>
      <c r="BGW23" s="169"/>
      <c r="BGX23" s="169"/>
      <c r="BGY23" s="169"/>
      <c r="BGZ23" s="169"/>
      <c r="BHA23" s="169"/>
      <c r="BHB23" s="169"/>
      <c r="BHC23" s="169"/>
      <c r="BHD23" s="169"/>
      <c r="BHE23" s="169"/>
      <c r="BHF23" s="169"/>
      <c r="BHG23" s="169"/>
      <c r="BHH23" s="169"/>
      <c r="BHI23" s="169"/>
      <c r="BHJ23" s="169"/>
      <c r="BHK23" s="169"/>
      <c r="BHL23" s="169"/>
      <c r="BHM23" s="169"/>
      <c r="BHN23" s="169"/>
      <c r="BHO23" s="169"/>
      <c r="BHP23" s="169"/>
      <c r="BHQ23" s="169"/>
      <c r="BHR23" s="169"/>
      <c r="BHS23" s="169"/>
      <c r="BHT23" s="169"/>
      <c r="BHU23" s="169"/>
      <c r="BHV23" s="169"/>
      <c r="BHW23" s="169"/>
      <c r="BHX23" s="169"/>
      <c r="BHY23" s="169"/>
      <c r="BHZ23" s="169"/>
      <c r="BIA23" s="169"/>
      <c r="BIB23" s="169"/>
      <c r="BIC23" s="169"/>
      <c r="BID23" s="169"/>
      <c r="BIE23" s="169"/>
      <c r="BIF23" s="169"/>
      <c r="BIG23" s="169"/>
      <c r="BIH23" s="169"/>
      <c r="BII23" s="169"/>
      <c r="BIJ23" s="169"/>
      <c r="BIK23" s="169"/>
      <c r="BIL23" s="169"/>
      <c r="BIM23" s="169"/>
      <c r="BIN23" s="169"/>
      <c r="BIO23" s="169"/>
      <c r="BIP23" s="169"/>
      <c r="BIQ23" s="169"/>
      <c r="BIR23" s="169"/>
      <c r="BIS23" s="169"/>
      <c r="BIT23" s="169"/>
      <c r="BIU23" s="169"/>
      <c r="BIV23" s="169"/>
      <c r="BIW23" s="169"/>
      <c r="BIX23" s="169"/>
      <c r="BIY23" s="169"/>
      <c r="BIZ23" s="169"/>
      <c r="BJA23" s="169"/>
      <c r="BJB23" s="169"/>
      <c r="BJC23" s="169"/>
      <c r="BJD23" s="169"/>
      <c r="BJE23" s="169"/>
      <c r="BJF23" s="169"/>
      <c r="BJG23" s="169"/>
      <c r="BJH23" s="169"/>
      <c r="BJI23" s="169"/>
      <c r="BJJ23" s="169"/>
      <c r="BJK23" s="169"/>
      <c r="BJL23" s="169"/>
      <c r="BJM23" s="169"/>
      <c r="BJN23" s="169"/>
      <c r="BJO23" s="169"/>
      <c r="BJP23" s="169"/>
      <c r="BJQ23" s="169"/>
      <c r="BJR23" s="169"/>
      <c r="BJS23" s="169"/>
      <c r="BJT23" s="169"/>
      <c r="BJU23" s="169"/>
      <c r="BJV23" s="169"/>
      <c r="BJW23" s="169"/>
      <c r="BJX23" s="169"/>
      <c r="BJY23" s="169"/>
      <c r="BJZ23" s="169"/>
      <c r="BKA23" s="169"/>
      <c r="BKB23" s="169"/>
      <c r="BKC23" s="169"/>
      <c r="BKD23" s="169"/>
      <c r="BKE23" s="169"/>
      <c r="BKF23" s="169"/>
      <c r="BKG23" s="169"/>
      <c r="BKH23" s="169"/>
      <c r="BKI23" s="169"/>
      <c r="BKJ23" s="169"/>
      <c r="BKK23" s="169"/>
      <c r="BKL23" s="169"/>
      <c r="BKM23" s="169"/>
      <c r="BKN23" s="169"/>
      <c r="BKO23" s="169"/>
      <c r="BKP23" s="169"/>
      <c r="BKQ23" s="169"/>
      <c r="BKR23" s="169"/>
      <c r="BKS23" s="169"/>
      <c r="BKT23" s="169"/>
      <c r="BKU23" s="169"/>
      <c r="BKV23" s="169"/>
      <c r="BKW23" s="169"/>
      <c r="BKX23" s="169"/>
      <c r="BKY23" s="169"/>
      <c r="BKZ23" s="169"/>
      <c r="BLA23" s="169"/>
      <c r="BLB23" s="169"/>
      <c r="BLC23" s="169"/>
      <c r="BLD23" s="169"/>
      <c r="BLE23" s="169"/>
      <c r="BLF23" s="169"/>
      <c r="BLG23" s="169"/>
      <c r="BLH23" s="169"/>
      <c r="BLI23" s="169"/>
      <c r="BLJ23" s="169"/>
      <c r="BLK23" s="169"/>
      <c r="BLL23" s="169"/>
      <c r="BLM23" s="169"/>
      <c r="BLN23" s="169"/>
      <c r="BLO23" s="169"/>
      <c r="BLP23" s="169"/>
      <c r="BLQ23" s="169"/>
      <c r="BLR23" s="169"/>
      <c r="BLS23" s="169"/>
      <c r="BLT23" s="169"/>
      <c r="BLU23" s="169"/>
      <c r="BLV23" s="169"/>
      <c r="BLW23" s="169"/>
      <c r="BLX23" s="169"/>
      <c r="BLY23" s="169"/>
      <c r="BLZ23" s="169"/>
      <c r="BMA23" s="169"/>
      <c r="BMB23" s="169"/>
      <c r="BMC23" s="169"/>
      <c r="BMD23" s="169"/>
      <c r="BME23" s="169"/>
      <c r="BMF23" s="169"/>
      <c r="BMG23" s="169"/>
      <c r="BMH23" s="169"/>
      <c r="BMI23" s="169"/>
      <c r="BMJ23" s="169"/>
      <c r="BMK23" s="169"/>
      <c r="BML23" s="169"/>
      <c r="BMM23" s="169"/>
      <c r="BMN23" s="169"/>
      <c r="BMO23" s="169"/>
      <c r="BMP23" s="169"/>
      <c r="BMQ23" s="169"/>
      <c r="BMR23" s="169"/>
      <c r="BMS23" s="169"/>
      <c r="BMT23" s="169"/>
      <c r="BMU23" s="169"/>
      <c r="BMV23" s="169"/>
      <c r="BMW23" s="169"/>
      <c r="BMX23" s="169"/>
      <c r="BMY23" s="169"/>
      <c r="BMZ23" s="169"/>
      <c r="BNA23" s="169"/>
      <c r="BNB23" s="169"/>
      <c r="BNC23" s="169"/>
      <c r="BND23" s="169"/>
      <c r="BNE23" s="169"/>
      <c r="BNF23" s="169"/>
      <c r="BNG23" s="169"/>
      <c r="BNH23" s="169"/>
      <c r="BNI23" s="169"/>
      <c r="BNJ23" s="169"/>
      <c r="BNK23" s="169"/>
      <c r="BNL23" s="169"/>
      <c r="BNM23" s="169"/>
      <c r="BNN23" s="169"/>
      <c r="BNO23" s="169"/>
      <c r="BNP23" s="169"/>
      <c r="BNQ23" s="169"/>
      <c r="BNR23" s="169"/>
      <c r="BNS23" s="169"/>
      <c r="BNT23" s="169"/>
      <c r="BNU23" s="169"/>
      <c r="BNV23" s="169"/>
      <c r="BNW23" s="169"/>
      <c r="BNX23" s="169"/>
      <c r="BNY23" s="169"/>
      <c r="BNZ23" s="169"/>
      <c r="BOA23" s="169"/>
      <c r="BOB23" s="169"/>
      <c r="BOC23" s="169"/>
      <c r="BOD23" s="169"/>
      <c r="BOE23" s="169"/>
      <c r="BOF23" s="169"/>
      <c r="BOG23" s="169"/>
      <c r="BOH23" s="169"/>
      <c r="BOI23" s="169"/>
      <c r="BOJ23" s="169"/>
      <c r="BOK23" s="169"/>
      <c r="BOL23" s="169"/>
      <c r="BOM23" s="169"/>
      <c r="BON23" s="169"/>
      <c r="BOO23" s="169"/>
      <c r="BOP23" s="169"/>
      <c r="BOQ23" s="169"/>
      <c r="BOR23" s="169"/>
      <c r="BOS23" s="169"/>
      <c r="BOT23" s="169"/>
      <c r="BOU23" s="169"/>
      <c r="BOV23" s="169"/>
      <c r="BOW23" s="169"/>
      <c r="BOX23" s="169"/>
      <c r="BOY23" s="169"/>
      <c r="BOZ23" s="169"/>
      <c r="BPA23" s="169"/>
      <c r="BPB23" s="169"/>
      <c r="BPC23" s="169"/>
      <c r="BPD23" s="169"/>
      <c r="BPE23" s="169"/>
      <c r="BPF23" s="169"/>
      <c r="BPG23" s="169"/>
      <c r="BPH23" s="169"/>
      <c r="BPI23" s="169"/>
      <c r="BPJ23" s="169"/>
      <c r="BPK23" s="169"/>
      <c r="BPL23" s="169"/>
      <c r="BPM23" s="169"/>
      <c r="BPN23" s="169"/>
      <c r="BPO23" s="169"/>
      <c r="BPP23" s="169"/>
      <c r="BPQ23" s="169"/>
      <c r="BPR23" s="169"/>
      <c r="BPS23" s="169"/>
      <c r="BPT23" s="169"/>
      <c r="BPU23" s="169"/>
      <c r="BPV23" s="169"/>
      <c r="BPW23" s="169"/>
      <c r="BPX23" s="169"/>
      <c r="BPY23" s="169"/>
      <c r="BPZ23" s="169"/>
      <c r="BQA23" s="169"/>
      <c r="BQB23" s="169"/>
      <c r="BQC23" s="169"/>
      <c r="BQD23" s="169"/>
      <c r="BQE23" s="169"/>
      <c r="BQF23" s="169"/>
      <c r="BQG23" s="169"/>
      <c r="BQH23" s="169"/>
      <c r="BQI23" s="169"/>
      <c r="BQJ23" s="169"/>
      <c r="BQK23" s="169"/>
      <c r="BQL23" s="169"/>
      <c r="BQM23" s="169"/>
      <c r="BQN23" s="169"/>
      <c r="BQO23" s="169"/>
      <c r="BQP23" s="169"/>
      <c r="BQQ23" s="169"/>
      <c r="BQR23" s="169"/>
      <c r="BQS23" s="169"/>
      <c r="BQT23" s="169"/>
      <c r="BQU23" s="169"/>
      <c r="BQV23" s="169"/>
      <c r="BQW23" s="169"/>
      <c r="BQX23" s="169"/>
      <c r="BQY23" s="169"/>
      <c r="BQZ23" s="169"/>
      <c r="BRA23" s="169"/>
      <c r="BRB23" s="169"/>
      <c r="BRC23" s="169"/>
      <c r="BRD23" s="169"/>
      <c r="BRE23" s="169"/>
      <c r="BRF23" s="169"/>
      <c r="BRG23" s="169"/>
      <c r="BRH23" s="169"/>
      <c r="BRI23" s="169"/>
      <c r="BRJ23" s="169"/>
      <c r="BRK23" s="169"/>
      <c r="BRL23" s="169"/>
      <c r="BRM23" s="169"/>
      <c r="BRN23" s="169"/>
      <c r="BRO23" s="169"/>
      <c r="BRP23" s="169"/>
      <c r="BRQ23" s="169"/>
      <c r="BRR23" s="169"/>
      <c r="BRS23" s="169"/>
      <c r="BRT23" s="169"/>
      <c r="BRU23" s="169"/>
      <c r="BRV23" s="169"/>
      <c r="BRW23" s="169"/>
      <c r="BRX23" s="169"/>
      <c r="BRY23" s="169"/>
      <c r="BRZ23" s="169"/>
      <c r="BSA23" s="169"/>
      <c r="BSB23" s="169"/>
      <c r="BSC23" s="169"/>
      <c r="BSD23" s="169"/>
      <c r="BSE23" s="169"/>
      <c r="BSF23" s="169"/>
      <c r="BSG23" s="169"/>
      <c r="BSH23" s="169"/>
      <c r="BSI23" s="169"/>
      <c r="BSJ23" s="169"/>
      <c r="BSK23" s="169"/>
      <c r="BSL23" s="169"/>
      <c r="BSM23" s="169"/>
      <c r="BSN23" s="169"/>
      <c r="BSO23" s="169"/>
      <c r="BSP23" s="169"/>
      <c r="BSQ23" s="169"/>
      <c r="BSR23" s="169"/>
      <c r="BSS23" s="169"/>
      <c r="BST23" s="169"/>
      <c r="BSU23" s="169"/>
      <c r="BSV23" s="169"/>
      <c r="BSW23" s="169"/>
      <c r="BSX23" s="169"/>
      <c r="BSY23" s="169"/>
      <c r="BSZ23" s="169"/>
      <c r="BTA23" s="169"/>
      <c r="BTB23" s="169"/>
      <c r="BTC23" s="169"/>
      <c r="BTD23" s="169"/>
      <c r="BTE23" s="169"/>
      <c r="BTF23" s="169"/>
      <c r="BTG23" s="169"/>
      <c r="BTH23" s="169"/>
      <c r="BTI23" s="169"/>
      <c r="BTJ23" s="169"/>
      <c r="BTK23" s="169"/>
      <c r="BTL23" s="169"/>
      <c r="BTM23" s="169"/>
      <c r="BTN23" s="169"/>
      <c r="BTO23" s="169"/>
      <c r="BTP23" s="169"/>
      <c r="BTQ23" s="169"/>
      <c r="BTR23" s="169"/>
      <c r="BTS23" s="169"/>
      <c r="BTT23" s="169"/>
      <c r="BTU23" s="169"/>
      <c r="BTV23" s="169"/>
      <c r="BTW23" s="169"/>
      <c r="BTX23" s="169"/>
      <c r="BTY23" s="169"/>
      <c r="BTZ23" s="169"/>
      <c r="BUA23" s="169"/>
      <c r="BUB23" s="169"/>
      <c r="BUC23" s="169"/>
      <c r="BUD23" s="169"/>
      <c r="BUE23" s="169"/>
      <c r="BUF23" s="169"/>
      <c r="BUG23" s="169"/>
      <c r="BUH23" s="169"/>
      <c r="BUI23" s="169"/>
      <c r="BUJ23" s="169"/>
      <c r="BUK23" s="169"/>
      <c r="BUL23" s="169"/>
      <c r="BUM23" s="169"/>
      <c r="BUN23" s="169"/>
      <c r="BUO23" s="169"/>
      <c r="BUP23" s="169"/>
      <c r="BUQ23" s="169"/>
      <c r="BUR23" s="169"/>
      <c r="BUS23" s="169"/>
      <c r="BUT23" s="169"/>
      <c r="BUU23" s="169"/>
      <c r="BUV23" s="169"/>
      <c r="BUW23" s="169"/>
      <c r="BUX23" s="169"/>
      <c r="BUY23" s="169"/>
      <c r="BUZ23" s="169"/>
      <c r="BVA23" s="169"/>
      <c r="BVB23" s="169"/>
      <c r="BVC23" s="169"/>
      <c r="BVD23" s="169"/>
      <c r="BVE23" s="169"/>
      <c r="BVF23" s="169"/>
      <c r="BVG23" s="169"/>
      <c r="BVH23" s="169"/>
      <c r="BVI23" s="169"/>
      <c r="BVJ23" s="169"/>
      <c r="BVK23" s="169"/>
      <c r="BVL23" s="169"/>
      <c r="BVM23" s="169"/>
      <c r="BVN23" s="169"/>
      <c r="BVO23" s="169"/>
      <c r="BVP23" s="169"/>
      <c r="BVQ23" s="169"/>
      <c r="BVR23" s="169"/>
      <c r="BVS23" s="169"/>
      <c r="BVT23" s="169"/>
      <c r="BVU23" s="169"/>
      <c r="BVV23" s="169"/>
      <c r="BVW23" s="169"/>
      <c r="BVX23" s="169"/>
      <c r="BVY23" s="169"/>
      <c r="BVZ23" s="169"/>
      <c r="BWA23" s="169"/>
      <c r="BWB23" s="169"/>
      <c r="BWC23" s="169"/>
      <c r="BWD23" s="169"/>
      <c r="BWE23" s="169"/>
      <c r="BWF23" s="169"/>
      <c r="BWG23" s="169"/>
      <c r="BWH23" s="169"/>
      <c r="BWI23" s="169"/>
      <c r="BWJ23" s="169"/>
      <c r="BWK23" s="169"/>
      <c r="BWL23" s="169"/>
      <c r="BWM23" s="169"/>
      <c r="BWN23" s="169"/>
      <c r="BWO23" s="169"/>
      <c r="BWP23" s="169"/>
      <c r="BWQ23" s="169"/>
      <c r="BWR23" s="169"/>
      <c r="BWS23" s="169"/>
      <c r="BWT23" s="169"/>
      <c r="BWU23" s="169"/>
      <c r="BWV23" s="169"/>
      <c r="BWW23" s="169"/>
      <c r="BWX23" s="169"/>
      <c r="BWY23" s="169"/>
      <c r="BWZ23" s="169"/>
      <c r="BXA23" s="169"/>
      <c r="BXB23" s="169"/>
      <c r="BXC23" s="169"/>
      <c r="BXD23" s="169"/>
      <c r="BXE23" s="169"/>
      <c r="BXF23" s="169"/>
      <c r="BXG23" s="169"/>
      <c r="BXH23" s="169"/>
      <c r="BXI23" s="169"/>
      <c r="BXJ23" s="169"/>
      <c r="BXK23" s="169"/>
      <c r="BXL23" s="169"/>
      <c r="BXM23" s="169"/>
      <c r="BXN23" s="169"/>
      <c r="BXO23" s="169"/>
      <c r="BXP23" s="169"/>
      <c r="BXQ23" s="169"/>
      <c r="BXR23" s="169"/>
      <c r="BXS23" s="169"/>
      <c r="BXT23" s="169"/>
      <c r="BXU23" s="169"/>
      <c r="BXV23" s="169"/>
      <c r="BXW23" s="169"/>
      <c r="BXX23" s="169"/>
      <c r="BXY23" s="169"/>
      <c r="BXZ23" s="169"/>
      <c r="BYA23" s="169"/>
      <c r="BYB23" s="169"/>
      <c r="BYC23" s="169"/>
      <c r="BYD23" s="169"/>
      <c r="BYE23" s="169"/>
      <c r="BYF23" s="169"/>
      <c r="BYG23" s="169"/>
    </row>
    <row r="24" spans="1:2009" s="3" customFormat="1" ht="12.75" hidden="1" customHeight="1" thickBot="1" x14ac:dyDescent="0.3">
      <c r="A24" s="72"/>
      <c r="B24" s="78"/>
      <c r="C24" s="142"/>
      <c r="D24" s="142"/>
      <c r="E24" s="142"/>
      <c r="F24" s="142"/>
      <c r="G24" s="515"/>
      <c r="I24" s="26"/>
      <c r="K24" s="338"/>
      <c r="L24" s="337">
        <v>5.54</v>
      </c>
      <c r="M24"/>
    </row>
    <row r="25" spans="1:2009" s="79" customFormat="1" ht="24.95" hidden="1" customHeight="1" x14ac:dyDescent="0.25">
      <c r="A25" s="104" t="s">
        <v>91</v>
      </c>
      <c r="B25" s="105"/>
      <c r="C25" s="143"/>
      <c r="D25" s="143"/>
      <c r="E25" s="144"/>
      <c r="F25" s="144"/>
      <c r="G25" s="516"/>
      <c r="H25"/>
      <c r="I25" s="21"/>
      <c r="J25"/>
      <c r="K25" s="338"/>
      <c r="L25" s="338" t="s">
        <v>193</v>
      </c>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row>
    <row r="26" spans="1:2009" s="79" customFormat="1" ht="24.95" hidden="1" customHeight="1" x14ac:dyDescent="0.25">
      <c r="A26" s="106"/>
      <c r="B26" s="94" t="s">
        <v>152</v>
      </c>
      <c r="C26" s="145"/>
      <c r="D26" s="145"/>
      <c r="E26" s="146"/>
      <c r="F26" s="146"/>
      <c r="G26" s="517"/>
      <c r="H26"/>
      <c r="I26" s="21"/>
      <c r="J26"/>
      <c r="K26" s="339"/>
      <c r="L26"/>
      <c r="M26" s="340">
        <v>12.3</v>
      </c>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row>
    <row r="27" spans="1:2009" s="175" customFormat="1" ht="24.95" hidden="1" customHeight="1" thickBot="1" x14ac:dyDescent="0.3">
      <c r="A27" s="171"/>
      <c r="B27" s="172" t="s">
        <v>136</v>
      </c>
      <c r="C27" s="173"/>
      <c r="D27" s="174"/>
      <c r="E27" s="174"/>
      <c r="F27" s="174">
        <f>SUM(F25:F26)</f>
        <v>0</v>
      </c>
      <c r="G27" s="518">
        <f>ROUND(SUM(C27:F27),5)</f>
        <v>0</v>
      </c>
      <c r="H27" s="160"/>
      <c r="I27" s="21"/>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c r="CA27" s="160"/>
      <c r="CB27" s="160"/>
      <c r="CC27" s="160"/>
      <c r="CD27" s="160"/>
      <c r="CE27" s="160"/>
      <c r="CF27" s="160"/>
      <c r="CG27" s="160"/>
      <c r="CH27" s="160"/>
      <c r="CI27" s="160"/>
      <c r="CJ27" s="160"/>
      <c r="CK27" s="160"/>
      <c r="CL27" s="160"/>
      <c r="CM27" s="160"/>
      <c r="CN27" s="160"/>
      <c r="CO27" s="160"/>
      <c r="CP27" s="160"/>
      <c r="CQ27" s="160"/>
      <c r="CR27" s="160"/>
      <c r="CS27" s="160"/>
      <c r="CT27" s="160"/>
      <c r="CU27" s="160"/>
      <c r="CV27" s="160"/>
      <c r="CW27" s="160"/>
      <c r="CX27" s="160"/>
      <c r="CY27" s="160"/>
      <c r="CZ27" s="160"/>
      <c r="DA27" s="160"/>
      <c r="DB27" s="160"/>
      <c r="DC27" s="160"/>
      <c r="DD27" s="160"/>
      <c r="DE27" s="160"/>
      <c r="DF27" s="160"/>
      <c r="DG27" s="160"/>
      <c r="DH27" s="160"/>
      <c r="DI27" s="160"/>
      <c r="DJ27" s="160"/>
      <c r="DK27" s="160"/>
      <c r="DL27" s="160"/>
      <c r="DM27" s="160"/>
      <c r="DN27" s="160"/>
      <c r="DO27" s="160"/>
      <c r="DP27" s="160"/>
      <c r="DQ27" s="160"/>
      <c r="DR27" s="160"/>
      <c r="DS27" s="160"/>
      <c r="DT27" s="160"/>
      <c r="DU27" s="160"/>
      <c r="DV27" s="160"/>
      <c r="DW27" s="160"/>
      <c r="DX27" s="160"/>
      <c r="DY27" s="160"/>
      <c r="DZ27" s="160"/>
      <c r="EA27" s="160"/>
      <c r="EB27" s="160"/>
      <c r="EC27" s="160"/>
      <c r="ED27" s="160"/>
      <c r="EE27" s="160"/>
      <c r="EF27" s="160"/>
      <c r="EG27" s="160"/>
      <c r="EH27" s="160"/>
      <c r="EI27" s="160"/>
      <c r="EJ27" s="160"/>
      <c r="EK27" s="160"/>
      <c r="EL27" s="160"/>
      <c r="EM27" s="160"/>
      <c r="EN27" s="160"/>
      <c r="EO27" s="160"/>
      <c r="EP27" s="160"/>
      <c r="EQ27" s="160"/>
      <c r="ER27" s="160"/>
      <c r="ES27" s="160"/>
      <c r="ET27" s="160"/>
      <c r="EU27" s="160"/>
      <c r="EV27" s="160"/>
      <c r="EW27" s="160"/>
      <c r="EX27" s="160"/>
      <c r="EY27" s="160"/>
      <c r="EZ27" s="160"/>
      <c r="FA27" s="160"/>
      <c r="FB27" s="160"/>
      <c r="FC27" s="160"/>
      <c r="FD27" s="160"/>
      <c r="FE27" s="160"/>
      <c r="FF27" s="160"/>
      <c r="FG27" s="160"/>
      <c r="FH27" s="160"/>
      <c r="FI27" s="160"/>
      <c r="FJ27" s="160"/>
      <c r="FK27" s="160"/>
      <c r="FL27" s="160"/>
      <c r="FM27" s="160"/>
      <c r="FN27" s="160"/>
      <c r="FO27" s="160"/>
      <c r="FP27" s="160"/>
      <c r="FQ27" s="160"/>
      <c r="FR27" s="160"/>
      <c r="FS27" s="160"/>
      <c r="FT27" s="160"/>
      <c r="FU27" s="160"/>
      <c r="FV27" s="160"/>
      <c r="FW27" s="160"/>
      <c r="FX27" s="160"/>
      <c r="FY27" s="160"/>
      <c r="FZ27" s="160"/>
      <c r="GA27" s="160"/>
      <c r="GB27" s="160"/>
      <c r="GC27" s="160"/>
      <c r="GD27" s="160"/>
      <c r="GE27" s="160"/>
      <c r="GF27" s="160"/>
      <c r="GG27" s="160"/>
      <c r="GH27" s="160"/>
      <c r="GI27" s="160"/>
      <c r="GJ27" s="160"/>
      <c r="GK27" s="160"/>
      <c r="GL27" s="160"/>
      <c r="GM27" s="160"/>
      <c r="GN27" s="160"/>
      <c r="GO27" s="160"/>
      <c r="GP27" s="160"/>
      <c r="GQ27" s="160"/>
      <c r="GR27" s="160"/>
      <c r="GS27" s="160"/>
      <c r="GT27" s="160"/>
      <c r="GU27" s="160"/>
      <c r="GV27" s="160"/>
      <c r="GW27" s="160"/>
      <c r="GX27" s="160"/>
      <c r="GY27" s="160"/>
      <c r="GZ27" s="160"/>
      <c r="HA27" s="160"/>
      <c r="HB27" s="160"/>
      <c r="HC27" s="160"/>
      <c r="HD27" s="160"/>
      <c r="HE27" s="160"/>
      <c r="HF27" s="160"/>
      <c r="HG27" s="160"/>
      <c r="HH27" s="160"/>
      <c r="HI27" s="160"/>
      <c r="HJ27" s="160"/>
      <c r="HK27" s="160"/>
      <c r="HL27" s="160"/>
      <c r="HM27" s="160"/>
      <c r="HN27" s="160"/>
      <c r="HO27" s="160"/>
      <c r="HP27" s="160"/>
      <c r="HQ27" s="160"/>
      <c r="HR27" s="160"/>
      <c r="HS27" s="160"/>
      <c r="HT27" s="160"/>
      <c r="HU27" s="160"/>
      <c r="HV27" s="160"/>
      <c r="HW27" s="160"/>
      <c r="HX27" s="160"/>
      <c r="HY27" s="160"/>
      <c r="HZ27" s="160"/>
      <c r="IA27" s="160"/>
      <c r="IB27" s="160"/>
      <c r="IC27" s="160"/>
      <c r="ID27" s="160"/>
      <c r="IE27" s="160"/>
      <c r="IF27" s="160"/>
      <c r="IG27" s="160"/>
      <c r="IH27" s="160"/>
      <c r="II27" s="160"/>
      <c r="IJ27" s="160"/>
      <c r="IK27" s="160"/>
      <c r="IL27" s="160"/>
      <c r="IM27" s="160"/>
      <c r="IN27" s="160"/>
      <c r="IO27" s="160"/>
      <c r="IP27" s="160"/>
      <c r="IQ27" s="160"/>
      <c r="IR27" s="160"/>
      <c r="IS27" s="160"/>
      <c r="IT27" s="160"/>
      <c r="IU27" s="160"/>
      <c r="IV27" s="160"/>
      <c r="IW27" s="160"/>
      <c r="IX27" s="160"/>
      <c r="IY27" s="160"/>
      <c r="IZ27" s="160"/>
      <c r="JA27" s="160"/>
      <c r="JB27" s="160"/>
      <c r="JC27" s="160"/>
      <c r="JD27" s="160"/>
      <c r="JE27" s="160"/>
      <c r="JF27" s="160"/>
      <c r="JG27" s="160"/>
      <c r="JH27" s="160"/>
      <c r="JI27" s="160"/>
      <c r="JJ27" s="160"/>
      <c r="JK27" s="160"/>
      <c r="JL27" s="160"/>
      <c r="JM27" s="160"/>
      <c r="JN27" s="160"/>
      <c r="JO27" s="160"/>
      <c r="JP27" s="160"/>
      <c r="JQ27" s="160"/>
      <c r="JR27" s="160"/>
      <c r="JS27" s="160"/>
      <c r="JT27" s="160"/>
      <c r="JU27" s="160"/>
      <c r="JV27" s="160"/>
      <c r="JW27" s="160"/>
      <c r="JX27" s="160"/>
      <c r="JY27" s="160"/>
      <c r="JZ27" s="160"/>
      <c r="KA27" s="160"/>
      <c r="KB27" s="160"/>
      <c r="KC27" s="160"/>
      <c r="KD27" s="160"/>
      <c r="KE27" s="160"/>
      <c r="KF27" s="160"/>
      <c r="KG27" s="160"/>
      <c r="KH27" s="160"/>
      <c r="KI27" s="160"/>
      <c r="KJ27" s="160"/>
      <c r="KK27" s="160"/>
      <c r="KL27" s="160"/>
      <c r="KM27" s="160"/>
      <c r="KN27" s="160"/>
      <c r="KO27" s="160"/>
      <c r="KP27" s="160"/>
      <c r="KQ27" s="160"/>
      <c r="KR27" s="160"/>
      <c r="KS27" s="160"/>
      <c r="KT27" s="160"/>
      <c r="KU27" s="160"/>
      <c r="KV27" s="160"/>
      <c r="KW27" s="160"/>
      <c r="KX27" s="160"/>
      <c r="KY27" s="160"/>
      <c r="KZ27" s="160"/>
      <c r="LA27" s="160"/>
      <c r="LB27" s="160"/>
      <c r="LC27" s="160"/>
      <c r="LD27" s="160"/>
      <c r="LE27" s="160"/>
      <c r="LF27" s="160"/>
      <c r="LG27" s="160"/>
      <c r="LH27" s="160"/>
      <c r="LI27" s="160"/>
      <c r="LJ27" s="160"/>
      <c r="LK27" s="160"/>
      <c r="LL27" s="160"/>
      <c r="LM27" s="160"/>
      <c r="LN27" s="160"/>
      <c r="LO27" s="160"/>
      <c r="LP27" s="160"/>
      <c r="LQ27" s="160"/>
      <c r="LR27" s="160"/>
      <c r="LS27" s="160"/>
      <c r="LT27" s="160"/>
      <c r="LU27" s="160"/>
      <c r="LV27" s="160"/>
      <c r="LW27" s="160"/>
      <c r="LX27" s="160"/>
      <c r="LY27" s="160"/>
      <c r="LZ27" s="160"/>
      <c r="MA27" s="160"/>
      <c r="MB27" s="160"/>
      <c r="MC27" s="160"/>
      <c r="MD27" s="160"/>
      <c r="ME27" s="160"/>
      <c r="MF27" s="160"/>
      <c r="MG27" s="160"/>
      <c r="MH27" s="160"/>
      <c r="MI27" s="160"/>
      <c r="MJ27" s="160"/>
      <c r="MK27" s="160"/>
      <c r="ML27" s="160"/>
      <c r="MM27" s="160"/>
      <c r="MN27" s="160"/>
      <c r="MO27" s="160"/>
      <c r="MP27" s="160"/>
      <c r="MQ27" s="160"/>
      <c r="MR27" s="160"/>
      <c r="MS27" s="160"/>
      <c r="MT27" s="160"/>
      <c r="MU27" s="160"/>
      <c r="MV27" s="160"/>
      <c r="MW27" s="160"/>
      <c r="MX27" s="160"/>
      <c r="MY27" s="160"/>
      <c r="MZ27" s="160"/>
      <c r="NA27" s="160"/>
      <c r="NB27" s="160"/>
      <c r="NC27" s="160"/>
      <c r="ND27" s="160"/>
      <c r="NE27" s="160"/>
      <c r="NF27" s="160"/>
      <c r="NG27" s="160"/>
      <c r="NH27" s="160"/>
      <c r="NI27" s="160"/>
      <c r="NJ27" s="160"/>
      <c r="NK27" s="160"/>
      <c r="NL27" s="160"/>
      <c r="NM27" s="160"/>
      <c r="NN27" s="160"/>
      <c r="NO27" s="160"/>
      <c r="NP27" s="160"/>
      <c r="NQ27" s="160"/>
      <c r="NR27" s="160"/>
      <c r="NS27" s="160"/>
      <c r="NT27" s="160"/>
      <c r="NU27" s="160"/>
      <c r="NV27" s="160"/>
      <c r="NW27" s="160"/>
      <c r="NX27" s="160"/>
      <c r="NY27" s="160"/>
      <c r="NZ27" s="160"/>
      <c r="OA27" s="160"/>
      <c r="OB27" s="160"/>
      <c r="OC27" s="160"/>
      <c r="OD27" s="160"/>
      <c r="OE27" s="160"/>
      <c r="OF27" s="160"/>
      <c r="OG27" s="160"/>
      <c r="OH27" s="160"/>
      <c r="OI27" s="160"/>
      <c r="OJ27" s="160"/>
      <c r="OK27" s="160"/>
      <c r="OL27" s="160"/>
      <c r="OM27" s="160"/>
      <c r="ON27" s="160"/>
      <c r="OO27" s="160"/>
      <c r="OP27" s="160"/>
      <c r="OQ27" s="160"/>
      <c r="OR27" s="160"/>
      <c r="OS27" s="160"/>
      <c r="OT27" s="160"/>
      <c r="OU27" s="160"/>
      <c r="OV27" s="160"/>
      <c r="OW27" s="160"/>
      <c r="OX27" s="160"/>
      <c r="OY27" s="160"/>
      <c r="OZ27" s="160"/>
      <c r="PA27" s="160"/>
      <c r="PB27" s="160"/>
      <c r="PC27" s="160"/>
      <c r="PD27" s="160"/>
      <c r="PE27" s="160"/>
      <c r="PF27" s="160"/>
      <c r="PG27" s="160"/>
      <c r="PH27" s="160"/>
      <c r="PI27" s="160"/>
      <c r="PJ27" s="160"/>
      <c r="PK27" s="160"/>
      <c r="PL27" s="160"/>
      <c r="PM27" s="160"/>
      <c r="PN27" s="160"/>
      <c r="PO27" s="160"/>
      <c r="PP27" s="160"/>
      <c r="PQ27" s="160"/>
      <c r="PR27" s="160"/>
      <c r="PS27" s="160"/>
      <c r="PT27" s="160"/>
      <c r="PU27" s="160"/>
      <c r="PV27" s="160"/>
      <c r="PW27" s="160"/>
      <c r="PX27" s="160"/>
      <c r="PY27" s="160"/>
      <c r="PZ27" s="160"/>
      <c r="QA27" s="160"/>
      <c r="QB27" s="160"/>
      <c r="QC27" s="160"/>
      <c r="QD27" s="160"/>
      <c r="QE27" s="160"/>
      <c r="QF27" s="160"/>
      <c r="QG27" s="160"/>
      <c r="QH27" s="160"/>
      <c r="QI27" s="160"/>
      <c r="QJ27" s="160"/>
      <c r="QK27" s="160"/>
      <c r="QL27" s="160"/>
      <c r="QM27" s="160"/>
      <c r="QN27" s="160"/>
      <c r="QO27" s="160"/>
      <c r="QP27" s="160"/>
      <c r="QQ27" s="160"/>
      <c r="QR27" s="160"/>
      <c r="QS27" s="160"/>
      <c r="QT27" s="160"/>
      <c r="QU27" s="160"/>
      <c r="QV27" s="160"/>
      <c r="QW27" s="160"/>
      <c r="QX27" s="160"/>
      <c r="QY27" s="160"/>
      <c r="QZ27" s="160"/>
      <c r="RA27" s="160"/>
      <c r="RB27" s="160"/>
      <c r="RC27" s="160"/>
      <c r="RD27" s="160"/>
      <c r="RE27" s="160"/>
      <c r="RF27" s="160"/>
      <c r="RG27" s="160"/>
      <c r="RH27" s="160"/>
      <c r="RI27" s="160"/>
      <c r="RJ27" s="160"/>
      <c r="RK27" s="160"/>
      <c r="RL27" s="160"/>
      <c r="RM27" s="160"/>
      <c r="RN27" s="160"/>
      <c r="RO27" s="160"/>
      <c r="RP27" s="160"/>
      <c r="RQ27" s="160"/>
      <c r="RR27" s="160"/>
      <c r="RS27" s="160"/>
      <c r="RT27" s="160"/>
      <c r="RU27" s="160"/>
      <c r="RV27" s="160"/>
      <c r="RW27" s="160"/>
      <c r="RX27" s="160"/>
      <c r="RY27" s="160"/>
      <c r="RZ27" s="160"/>
      <c r="SA27" s="160"/>
      <c r="SB27" s="160"/>
      <c r="SC27" s="160"/>
      <c r="SD27" s="160"/>
      <c r="SE27" s="160"/>
      <c r="SF27" s="160"/>
      <c r="SG27" s="160"/>
      <c r="SH27" s="160"/>
      <c r="SI27" s="160"/>
      <c r="SJ27" s="160"/>
      <c r="SK27" s="160"/>
      <c r="SL27" s="160"/>
      <c r="SM27" s="160"/>
      <c r="SN27" s="160"/>
      <c r="SO27" s="160"/>
      <c r="SP27" s="160"/>
      <c r="SQ27" s="160"/>
      <c r="SR27" s="160"/>
      <c r="SS27" s="160"/>
      <c r="ST27" s="160"/>
      <c r="SU27" s="160"/>
      <c r="SV27" s="160"/>
      <c r="SW27" s="160"/>
      <c r="SX27" s="160"/>
      <c r="SY27" s="160"/>
      <c r="SZ27" s="160"/>
      <c r="TA27" s="160"/>
      <c r="TB27" s="160"/>
      <c r="TC27" s="160"/>
      <c r="TD27" s="160"/>
      <c r="TE27" s="160"/>
      <c r="TF27" s="160"/>
      <c r="TG27" s="160"/>
      <c r="TH27" s="160"/>
      <c r="TI27" s="160"/>
      <c r="TJ27" s="160"/>
      <c r="TK27" s="160"/>
      <c r="TL27" s="160"/>
      <c r="TM27" s="160"/>
      <c r="TN27" s="160"/>
      <c r="TO27" s="160"/>
      <c r="TP27" s="160"/>
      <c r="TQ27" s="160"/>
      <c r="TR27" s="160"/>
      <c r="TS27" s="160"/>
      <c r="TT27" s="160"/>
      <c r="TU27" s="160"/>
      <c r="TV27" s="160"/>
      <c r="TW27" s="160"/>
      <c r="TX27" s="160"/>
      <c r="TY27" s="160"/>
      <c r="TZ27" s="160"/>
      <c r="UA27" s="160"/>
      <c r="UB27" s="160"/>
      <c r="UC27" s="160"/>
      <c r="UD27" s="160"/>
      <c r="UE27" s="160"/>
      <c r="UF27" s="160"/>
      <c r="UG27" s="160"/>
      <c r="UH27" s="160"/>
      <c r="UI27" s="160"/>
      <c r="UJ27" s="160"/>
      <c r="UK27" s="160"/>
      <c r="UL27" s="160"/>
      <c r="UM27" s="160"/>
      <c r="UN27" s="160"/>
      <c r="UO27" s="160"/>
      <c r="UP27" s="160"/>
      <c r="UQ27" s="160"/>
      <c r="UR27" s="160"/>
      <c r="US27" s="160"/>
      <c r="UT27" s="160"/>
      <c r="UU27" s="160"/>
      <c r="UV27" s="160"/>
      <c r="UW27" s="160"/>
      <c r="UX27" s="160"/>
      <c r="UY27" s="160"/>
      <c r="UZ27" s="160"/>
      <c r="VA27" s="160"/>
      <c r="VB27" s="160"/>
      <c r="VC27" s="160"/>
      <c r="VD27" s="160"/>
      <c r="VE27" s="160"/>
      <c r="VF27" s="160"/>
      <c r="VG27" s="160"/>
      <c r="VH27" s="160"/>
      <c r="VI27" s="160"/>
      <c r="VJ27" s="160"/>
      <c r="VK27" s="160"/>
      <c r="VL27" s="160"/>
      <c r="VM27" s="160"/>
      <c r="VN27" s="160"/>
      <c r="VO27" s="160"/>
      <c r="VP27" s="160"/>
      <c r="VQ27" s="160"/>
      <c r="VR27" s="160"/>
      <c r="VS27" s="160"/>
      <c r="VT27" s="160"/>
      <c r="VU27" s="160"/>
      <c r="VV27" s="160"/>
      <c r="VW27" s="160"/>
      <c r="VX27" s="160"/>
      <c r="VY27" s="160"/>
      <c r="VZ27" s="160"/>
      <c r="WA27" s="160"/>
      <c r="WB27" s="160"/>
      <c r="WC27" s="160"/>
      <c r="WD27" s="160"/>
      <c r="WE27" s="160"/>
      <c r="WF27" s="160"/>
      <c r="WG27" s="160"/>
      <c r="WH27" s="160"/>
      <c r="WI27" s="160"/>
      <c r="WJ27" s="160"/>
      <c r="WK27" s="160"/>
      <c r="WL27" s="160"/>
      <c r="WM27" s="160"/>
      <c r="WN27" s="160"/>
      <c r="WO27" s="160"/>
      <c r="WP27" s="160"/>
      <c r="WQ27" s="160"/>
      <c r="WR27" s="160"/>
      <c r="WS27" s="160"/>
      <c r="WT27" s="160"/>
      <c r="WU27" s="160"/>
      <c r="WV27" s="160"/>
      <c r="WW27" s="160"/>
      <c r="WX27" s="160"/>
      <c r="WY27" s="160"/>
      <c r="WZ27" s="160"/>
      <c r="XA27" s="160"/>
      <c r="XB27" s="160"/>
      <c r="XC27" s="160"/>
      <c r="XD27" s="160"/>
      <c r="XE27" s="160"/>
      <c r="XF27" s="160"/>
      <c r="XG27" s="160"/>
      <c r="XH27" s="160"/>
      <c r="XI27" s="160"/>
      <c r="XJ27" s="160"/>
      <c r="XK27" s="160"/>
      <c r="XL27" s="160"/>
      <c r="XM27" s="160"/>
      <c r="XN27" s="160"/>
      <c r="XO27" s="160"/>
      <c r="XP27" s="160"/>
      <c r="XQ27" s="160"/>
      <c r="XR27" s="160"/>
      <c r="XS27" s="160"/>
      <c r="XT27" s="160"/>
      <c r="XU27" s="160"/>
      <c r="XV27" s="160"/>
      <c r="XW27" s="160"/>
      <c r="XX27" s="160"/>
      <c r="XY27" s="160"/>
      <c r="XZ27" s="160"/>
      <c r="YA27" s="160"/>
      <c r="YB27" s="160"/>
      <c r="YC27" s="160"/>
      <c r="YD27" s="160"/>
      <c r="YE27" s="160"/>
      <c r="YF27" s="160"/>
      <c r="YG27" s="160"/>
      <c r="YH27" s="160"/>
      <c r="YI27" s="160"/>
      <c r="YJ27" s="160"/>
      <c r="YK27" s="160"/>
      <c r="YL27" s="160"/>
      <c r="YM27" s="160"/>
      <c r="YN27" s="160"/>
      <c r="YO27" s="160"/>
      <c r="YP27" s="160"/>
      <c r="YQ27" s="160"/>
      <c r="YR27" s="160"/>
      <c r="YS27" s="160"/>
      <c r="YT27" s="160"/>
      <c r="YU27" s="160"/>
      <c r="YV27" s="160"/>
      <c r="YW27" s="160"/>
      <c r="YX27" s="160"/>
      <c r="YY27" s="160"/>
      <c r="YZ27" s="160"/>
      <c r="ZA27" s="160"/>
      <c r="ZB27" s="160"/>
      <c r="ZC27" s="160"/>
      <c r="ZD27" s="160"/>
      <c r="ZE27" s="160"/>
      <c r="ZF27" s="160"/>
      <c r="ZG27" s="160"/>
      <c r="ZH27" s="160"/>
      <c r="ZI27" s="160"/>
      <c r="ZJ27" s="160"/>
      <c r="ZK27" s="160"/>
      <c r="ZL27" s="160"/>
      <c r="ZM27" s="160"/>
      <c r="ZN27" s="160"/>
      <c r="ZO27" s="160"/>
      <c r="ZP27" s="160"/>
      <c r="ZQ27" s="160"/>
      <c r="ZR27" s="160"/>
      <c r="ZS27" s="160"/>
      <c r="ZT27" s="160"/>
      <c r="ZU27" s="160"/>
      <c r="ZV27" s="160"/>
      <c r="ZW27" s="160"/>
      <c r="ZX27" s="160"/>
      <c r="ZY27" s="160"/>
      <c r="ZZ27" s="160"/>
      <c r="AAA27" s="160"/>
      <c r="AAB27" s="160"/>
      <c r="AAC27" s="160"/>
      <c r="AAD27" s="160"/>
      <c r="AAE27" s="160"/>
      <c r="AAF27" s="160"/>
      <c r="AAG27" s="160"/>
      <c r="AAH27" s="160"/>
      <c r="AAI27" s="160"/>
      <c r="AAJ27" s="160"/>
      <c r="AAK27" s="160"/>
      <c r="AAL27" s="160"/>
      <c r="AAM27" s="160"/>
      <c r="AAN27" s="160"/>
      <c r="AAO27" s="160"/>
      <c r="AAP27" s="160"/>
      <c r="AAQ27" s="160"/>
      <c r="AAR27" s="160"/>
      <c r="AAS27" s="160"/>
      <c r="AAT27" s="160"/>
      <c r="AAU27" s="160"/>
      <c r="AAV27" s="160"/>
      <c r="AAW27" s="160"/>
      <c r="AAX27" s="160"/>
      <c r="AAY27" s="160"/>
      <c r="AAZ27" s="160"/>
      <c r="ABA27" s="160"/>
      <c r="ABB27" s="160"/>
      <c r="ABC27" s="160"/>
      <c r="ABD27" s="160"/>
      <c r="ABE27" s="160"/>
      <c r="ABF27" s="160"/>
      <c r="ABG27" s="160"/>
      <c r="ABH27" s="160"/>
      <c r="ABI27" s="160"/>
      <c r="ABJ27" s="160"/>
      <c r="ABK27" s="160"/>
      <c r="ABL27" s="160"/>
      <c r="ABM27" s="160"/>
      <c r="ABN27" s="160"/>
      <c r="ABO27" s="160"/>
      <c r="ABP27" s="160"/>
      <c r="ABQ27" s="160"/>
      <c r="ABR27" s="160"/>
      <c r="ABS27" s="160"/>
      <c r="ABT27" s="160"/>
      <c r="ABU27" s="160"/>
      <c r="ABV27" s="160"/>
      <c r="ABW27" s="160"/>
      <c r="ABX27" s="160"/>
      <c r="ABY27" s="160"/>
      <c r="ABZ27" s="160"/>
      <c r="ACA27" s="160"/>
      <c r="ACB27" s="160"/>
      <c r="ACC27" s="160"/>
      <c r="ACD27" s="160"/>
      <c r="ACE27" s="160"/>
      <c r="ACF27" s="160"/>
      <c r="ACG27" s="160"/>
      <c r="ACH27" s="160"/>
      <c r="ACI27" s="160"/>
      <c r="ACJ27" s="160"/>
      <c r="ACK27" s="160"/>
      <c r="ACL27" s="160"/>
      <c r="ACM27" s="160"/>
      <c r="ACN27" s="160"/>
      <c r="ACO27" s="160"/>
      <c r="ACP27" s="160"/>
      <c r="ACQ27" s="160"/>
      <c r="ACR27" s="160"/>
      <c r="ACS27" s="160"/>
      <c r="ACT27" s="160"/>
      <c r="ACU27" s="160"/>
      <c r="ACV27" s="160"/>
      <c r="ACW27" s="160"/>
      <c r="ACX27" s="160"/>
      <c r="ACY27" s="160"/>
      <c r="ACZ27" s="160"/>
      <c r="ADA27" s="160"/>
      <c r="ADB27" s="160"/>
      <c r="ADC27" s="160"/>
      <c r="ADD27" s="160"/>
      <c r="ADE27" s="160"/>
      <c r="ADF27" s="160"/>
      <c r="ADG27" s="160"/>
      <c r="ADH27" s="160"/>
      <c r="ADI27" s="160"/>
      <c r="ADJ27" s="160"/>
      <c r="ADK27" s="160"/>
      <c r="ADL27" s="160"/>
      <c r="ADM27" s="160"/>
      <c r="ADN27" s="160"/>
      <c r="ADO27" s="160"/>
      <c r="ADP27" s="160"/>
      <c r="ADQ27" s="160"/>
      <c r="ADR27" s="160"/>
      <c r="ADS27" s="160"/>
      <c r="ADT27" s="160"/>
      <c r="ADU27" s="160"/>
      <c r="ADV27" s="160"/>
      <c r="ADW27" s="160"/>
      <c r="ADX27" s="160"/>
      <c r="ADY27" s="160"/>
      <c r="ADZ27" s="160"/>
      <c r="AEA27" s="160"/>
      <c r="AEB27" s="160"/>
      <c r="AEC27" s="160"/>
      <c r="AED27" s="160"/>
      <c r="AEE27" s="160"/>
      <c r="AEF27" s="160"/>
      <c r="AEG27" s="160"/>
      <c r="AEH27" s="160"/>
      <c r="AEI27" s="160"/>
      <c r="AEJ27" s="160"/>
      <c r="AEK27" s="160"/>
      <c r="AEL27" s="160"/>
      <c r="AEM27" s="160"/>
      <c r="AEN27" s="160"/>
      <c r="AEO27" s="160"/>
      <c r="AEP27" s="160"/>
      <c r="AEQ27" s="160"/>
      <c r="AER27" s="160"/>
      <c r="AES27" s="160"/>
      <c r="AET27" s="160"/>
      <c r="AEU27" s="160"/>
      <c r="AEV27" s="160"/>
      <c r="AEW27" s="160"/>
      <c r="AEX27" s="160"/>
      <c r="AEY27" s="160"/>
      <c r="AEZ27" s="160"/>
      <c r="AFA27" s="160"/>
      <c r="AFB27" s="160"/>
      <c r="AFC27" s="160"/>
      <c r="AFD27" s="160"/>
      <c r="AFE27" s="160"/>
      <c r="AFF27" s="160"/>
      <c r="AFG27" s="160"/>
      <c r="AFH27" s="160"/>
      <c r="AFI27" s="160"/>
      <c r="AFJ27" s="160"/>
      <c r="AFK27" s="160"/>
      <c r="AFL27" s="160"/>
      <c r="AFM27" s="160"/>
      <c r="AFN27" s="160"/>
      <c r="AFO27" s="160"/>
      <c r="AFP27" s="160"/>
      <c r="AFQ27" s="160"/>
      <c r="AFR27" s="160"/>
      <c r="AFS27" s="160"/>
      <c r="AFT27" s="160"/>
      <c r="AFU27" s="160"/>
      <c r="AFV27" s="160"/>
      <c r="AFW27" s="160"/>
      <c r="AFX27" s="160"/>
      <c r="AFY27" s="160"/>
      <c r="AFZ27" s="160"/>
      <c r="AGA27" s="160"/>
      <c r="AGB27" s="160"/>
      <c r="AGC27" s="160"/>
      <c r="AGD27" s="160"/>
      <c r="AGE27" s="160"/>
      <c r="AGF27" s="160"/>
      <c r="AGG27" s="160"/>
      <c r="AGH27" s="160"/>
      <c r="AGI27" s="160"/>
      <c r="AGJ27" s="160"/>
      <c r="AGK27" s="160"/>
      <c r="AGL27" s="160"/>
      <c r="AGM27" s="160"/>
      <c r="AGN27" s="160"/>
      <c r="AGO27" s="160"/>
      <c r="AGP27" s="160"/>
      <c r="AGQ27" s="160"/>
      <c r="AGR27" s="160"/>
      <c r="AGS27" s="160"/>
      <c r="AGT27" s="160"/>
      <c r="AGU27" s="160"/>
      <c r="AGV27" s="160"/>
      <c r="AGW27" s="160"/>
      <c r="AGX27" s="160"/>
      <c r="AGY27" s="160"/>
      <c r="AGZ27" s="160"/>
      <c r="AHA27" s="160"/>
      <c r="AHB27" s="160"/>
      <c r="AHC27" s="160"/>
      <c r="AHD27" s="160"/>
      <c r="AHE27" s="160"/>
      <c r="AHF27" s="160"/>
      <c r="AHG27" s="160"/>
      <c r="AHH27" s="160"/>
      <c r="AHI27" s="160"/>
      <c r="AHJ27" s="160"/>
      <c r="AHK27" s="160"/>
      <c r="AHL27" s="160"/>
      <c r="AHM27" s="160"/>
      <c r="AHN27" s="160"/>
      <c r="AHO27" s="160"/>
      <c r="AHP27" s="160"/>
      <c r="AHQ27" s="160"/>
      <c r="AHR27" s="160"/>
      <c r="AHS27" s="160"/>
      <c r="AHT27" s="160"/>
      <c r="AHU27" s="160"/>
      <c r="AHV27" s="160"/>
      <c r="AHW27" s="160"/>
      <c r="AHX27" s="160"/>
      <c r="AHY27" s="160"/>
      <c r="AHZ27" s="160"/>
      <c r="AIA27" s="160"/>
      <c r="AIB27" s="160"/>
      <c r="AIC27" s="160"/>
      <c r="AID27" s="160"/>
      <c r="AIE27" s="160"/>
      <c r="AIF27" s="160"/>
      <c r="AIG27" s="160"/>
      <c r="AIH27" s="160"/>
      <c r="AII27" s="160"/>
      <c r="AIJ27" s="160"/>
      <c r="AIK27" s="160"/>
      <c r="AIL27" s="160"/>
      <c r="AIM27" s="160"/>
      <c r="AIN27" s="160"/>
      <c r="AIO27" s="160"/>
      <c r="AIP27" s="160"/>
      <c r="AIQ27" s="160"/>
      <c r="AIR27" s="160"/>
      <c r="AIS27" s="160"/>
      <c r="AIT27" s="160"/>
      <c r="AIU27" s="160"/>
      <c r="AIV27" s="160"/>
      <c r="AIW27" s="160"/>
      <c r="AIX27" s="160"/>
      <c r="AIY27" s="160"/>
      <c r="AIZ27" s="160"/>
      <c r="AJA27" s="160"/>
      <c r="AJB27" s="160"/>
      <c r="AJC27" s="160"/>
      <c r="AJD27" s="160"/>
      <c r="AJE27" s="160"/>
      <c r="AJF27" s="160"/>
      <c r="AJG27" s="160"/>
      <c r="AJH27" s="160"/>
      <c r="AJI27" s="160"/>
      <c r="AJJ27" s="160"/>
      <c r="AJK27" s="160"/>
      <c r="AJL27" s="160"/>
      <c r="AJM27" s="160"/>
      <c r="AJN27" s="160"/>
      <c r="AJO27" s="160"/>
      <c r="AJP27" s="160"/>
      <c r="AJQ27" s="160"/>
      <c r="AJR27" s="160"/>
      <c r="AJS27" s="160"/>
      <c r="AJT27" s="160"/>
      <c r="AJU27" s="160"/>
      <c r="AJV27" s="160"/>
      <c r="AJW27" s="160"/>
      <c r="AJX27" s="160"/>
      <c r="AJY27" s="160"/>
      <c r="AJZ27" s="160"/>
      <c r="AKA27" s="160"/>
      <c r="AKB27" s="160"/>
      <c r="AKC27" s="160"/>
      <c r="AKD27" s="160"/>
      <c r="AKE27" s="160"/>
      <c r="AKF27" s="160"/>
      <c r="AKG27" s="160"/>
      <c r="AKH27" s="160"/>
      <c r="AKI27" s="160"/>
      <c r="AKJ27" s="160"/>
      <c r="AKK27" s="160"/>
      <c r="AKL27" s="160"/>
      <c r="AKM27" s="160"/>
      <c r="AKN27" s="160"/>
      <c r="AKO27" s="160"/>
      <c r="AKP27" s="160"/>
      <c r="AKQ27" s="160"/>
      <c r="AKR27" s="160"/>
      <c r="AKS27" s="160"/>
      <c r="AKT27" s="160"/>
      <c r="AKU27" s="160"/>
      <c r="AKV27" s="160"/>
      <c r="AKW27" s="160"/>
      <c r="AKX27" s="160"/>
      <c r="AKY27" s="160"/>
      <c r="AKZ27" s="160"/>
      <c r="ALA27" s="160"/>
      <c r="ALB27" s="160"/>
      <c r="ALC27" s="160"/>
      <c r="ALD27" s="160"/>
      <c r="ALE27" s="160"/>
      <c r="ALF27" s="160"/>
      <c r="ALG27" s="160"/>
      <c r="ALH27" s="160"/>
      <c r="ALI27" s="160"/>
      <c r="ALJ27" s="160"/>
      <c r="ALK27" s="160"/>
      <c r="ALL27" s="160"/>
      <c r="ALM27" s="160"/>
      <c r="ALN27" s="160"/>
      <c r="ALO27" s="160"/>
      <c r="ALP27" s="160"/>
      <c r="ALQ27" s="160"/>
      <c r="ALR27" s="160"/>
      <c r="ALS27" s="160"/>
      <c r="ALT27" s="160"/>
      <c r="ALU27" s="160"/>
      <c r="ALV27" s="160"/>
      <c r="ALW27" s="160"/>
      <c r="ALX27" s="160"/>
      <c r="ALY27" s="160"/>
      <c r="ALZ27" s="160"/>
      <c r="AMA27" s="160"/>
      <c r="AMB27" s="160"/>
      <c r="AMC27" s="160"/>
      <c r="AMD27" s="160"/>
      <c r="AME27" s="160"/>
      <c r="AMF27" s="160"/>
      <c r="AMG27" s="160"/>
      <c r="AMH27" s="160"/>
      <c r="AMI27" s="160"/>
      <c r="AMJ27" s="160"/>
      <c r="AMK27" s="160"/>
      <c r="AML27" s="160"/>
      <c r="AMM27" s="160"/>
      <c r="AMN27" s="160"/>
      <c r="AMO27" s="160"/>
      <c r="AMP27" s="160"/>
      <c r="AMQ27" s="160"/>
      <c r="AMR27" s="160"/>
      <c r="AMS27" s="160"/>
      <c r="AMT27" s="160"/>
      <c r="AMU27" s="160"/>
      <c r="AMV27" s="160"/>
      <c r="AMW27" s="160"/>
      <c r="AMX27" s="160"/>
      <c r="AMY27" s="160"/>
      <c r="AMZ27" s="160"/>
      <c r="ANA27" s="160"/>
      <c r="ANB27" s="160"/>
      <c r="ANC27" s="160"/>
      <c r="AND27" s="160"/>
      <c r="ANE27" s="160"/>
      <c r="ANF27" s="160"/>
      <c r="ANG27" s="160"/>
      <c r="ANH27" s="160"/>
      <c r="ANI27" s="160"/>
      <c r="ANJ27" s="160"/>
      <c r="ANK27" s="160"/>
      <c r="ANL27" s="160"/>
      <c r="ANM27" s="160"/>
      <c r="ANN27" s="160"/>
      <c r="ANO27" s="160"/>
      <c r="ANP27" s="160"/>
      <c r="ANQ27" s="160"/>
      <c r="ANR27" s="160"/>
      <c r="ANS27" s="160"/>
      <c r="ANT27" s="160"/>
      <c r="ANU27" s="160"/>
      <c r="ANV27" s="160"/>
      <c r="ANW27" s="160"/>
      <c r="ANX27" s="160"/>
      <c r="ANY27" s="160"/>
      <c r="ANZ27" s="160"/>
      <c r="AOA27" s="160"/>
      <c r="AOB27" s="160"/>
      <c r="AOC27" s="160"/>
      <c r="AOD27" s="160"/>
      <c r="AOE27" s="160"/>
      <c r="AOF27" s="160"/>
      <c r="AOG27" s="160"/>
      <c r="AOH27" s="160"/>
      <c r="AOI27" s="160"/>
      <c r="AOJ27" s="160"/>
      <c r="AOK27" s="160"/>
      <c r="AOL27" s="160"/>
      <c r="AOM27" s="160"/>
      <c r="AON27" s="160"/>
      <c r="AOO27" s="160"/>
      <c r="AOP27" s="160"/>
      <c r="AOQ27" s="160"/>
      <c r="AOR27" s="160"/>
      <c r="AOS27" s="160"/>
      <c r="AOT27" s="160"/>
      <c r="AOU27" s="160"/>
      <c r="AOV27" s="160"/>
      <c r="AOW27" s="160"/>
      <c r="AOX27" s="160"/>
      <c r="AOY27" s="160"/>
      <c r="AOZ27" s="160"/>
      <c r="APA27" s="160"/>
      <c r="APB27" s="160"/>
      <c r="APC27" s="160"/>
      <c r="APD27" s="160"/>
      <c r="APE27" s="160"/>
      <c r="APF27" s="160"/>
      <c r="APG27" s="160"/>
      <c r="APH27" s="160"/>
      <c r="API27" s="160"/>
      <c r="APJ27" s="160"/>
      <c r="APK27" s="160"/>
      <c r="APL27" s="160"/>
      <c r="APM27" s="160"/>
      <c r="APN27" s="160"/>
      <c r="APO27" s="160"/>
      <c r="APP27" s="160"/>
      <c r="APQ27" s="160"/>
      <c r="APR27" s="160"/>
      <c r="APS27" s="160"/>
      <c r="APT27" s="160"/>
      <c r="APU27" s="160"/>
      <c r="APV27" s="160"/>
      <c r="APW27" s="160"/>
      <c r="APX27" s="160"/>
      <c r="APY27" s="160"/>
      <c r="APZ27" s="160"/>
      <c r="AQA27" s="160"/>
      <c r="AQB27" s="160"/>
      <c r="AQC27" s="160"/>
      <c r="AQD27" s="160"/>
      <c r="AQE27" s="160"/>
      <c r="AQF27" s="160"/>
      <c r="AQG27" s="160"/>
      <c r="AQH27" s="160"/>
      <c r="AQI27" s="160"/>
      <c r="AQJ27" s="160"/>
      <c r="AQK27" s="160"/>
      <c r="AQL27" s="160"/>
      <c r="AQM27" s="160"/>
      <c r="AQN27" s="160"/>
      <c r="AQO27" s="160"/>
      <c r="AQP27" s="160"/>
      <c r="AQQ27" s="160"/>
      <c r="AQR27" s="160"/>
      <c r="AQS27" s="160"/>
      <c r="AQT27" s="160"/>
      <c r="AQU27" s="160"/>
      <c r="AQV27" s="160"/>
      <c r="AQW27" s="160"/>
      <c r="AQX27" s="160"/>
      <c r="AQY27" s="160"/>
      <c r="AQZ27" s="160"/>
      <c r="ARA27" s="160"/>
      <c r="ARB27" s="160"/>
      <c r="ARC27" s="160"/>
      <c r="ARD27" s="160"/>
      <c r="ARE27" s="160"/>
      <c r="ARF27" s="160"/>
      <c r="ARG27" s="160"/>
      <c r="ARH27" s="160"/>
      <c r="ARI27" s="160"/>
      <c r="ARJ27" s="160"/>
      <c r="ARK27" s="160"/>
      <c r="ARL27" s="160"/>
      <c r="ARM27" s="160"/>
      <c r="ARN27" s="160"/>
      <c r="ARO27" s="160"/>
      <c r="ARP27" s="160"/>
      <c r="ARQ27" s="160"/>
      <c r="ARR27" s="160"/>
      <c r="ARS27" s="160"/>
      <c r="ART27" s="160"/>
      <c r="ARU27" s="160"/>
      <c r="ARV27" s="160"/>
      <c r="ARW27" s="160"/>
      <c r="ARX27" s="160"/>
      <c r="ARY27" s="160"/>
      <c r="ARZ27" s="160"/>
      <c r="ASA27" s="160"/>
      <c r="ASB27" s="160"/>
      <c r="ASC27" s="160"/>
      <c r="ASD27" s="160"/>
      <c r="ASE27" s="160"/>
      <c r="ASF27" s="160"/>
      <c r="ASG27" s="160"/>
      <c r="ASH27" s="160"/>
      <c r="ASI27" s="160"/>
      <c r="ASJ27" s="160"/>
      <c r="ASK27" s="160"/>
      <c r="ASL27" s="160"/>
      <c r="ASM27" s="160"/>
      <c r="ASN27" s="160"/>
      <c r="ASO27" s="160"/>
      <c r="ASP27" s="160"/>
      <c r="ASQ27" s="160"/>
      <c r="ASR27" s="160"/>
      <c r="ASS27" s="160"/>
      <c r="AST27" s="160"/>
      <c r="ASU27" s="160"/>
      <c r="ASV27" s="160"/>
      <c r="ASW27" s="160"/>
      <c r="ASX27" s="160"/>
      <c r="ASY27" s="160"/>
      <c r="ASZ27" s="160"/>
      <c r="ATA27" s="160"/>
      <c r="ATB27" s="160"/>
      <c r="ATC27" s="160"/>
      <c r="ATD27" s="160"/>
      <c r="ATE27" s="160"/>
      <c r="ATF27" s="160"/>
      <c r="ATG27" s="160"/>
      <c r="ATH27" s="160"/>
      <c r="ATI27" s="160"/>
      <c r="ATJ27" s="160"/>
      <c r="ATK27" s="160"/>
      <c r="ATL27" s="160"/>
      <c r="ATM27" s="160"/>
      <c r="ATN27" s="160"/>
      <c r="ATO27" s="160"/>
      <c r="ATP27" s="160"/>
      <c r="ATQ27" s="160"/>
      <c r="ATR27" s="160"/>
      <c r="ATS27" s="160"/>
      <c r="ATT27" s="160"/>
      <c r="ATU27" s="160"/>
      <c r="ATV27" s="160"/>
      <c r="ATW27" s="160"/>
      <c r="ATX27" s="160"/>
      <c r="ATY27" s="160"/>
      <c r="ATZ27" s="160"/>
      <c r="AUA27" s="160"/>
      <c r="AUB27" s="160"/>
      <c r="AUC27" s="160"/>
      <c r="AUD27" s="160"/>
      <c r="AUE27" s="160"/>
      <c r="AUF27" s="160"/>
      <c r="AUG27" s="160"/>
      <c r="AUH27" s="160"/>
      <c r="AUI27" s="160"/>
      <c r="AUJ27" s="160"/>
      <c r="AUK27" s="160"/>
      <c r="AUL27" s="160"/>
      <c r="AUM27" s="160"/>
      <c r="AUN27" s="160"/>
      <c r="AUO27" s="160"/>
      <c r="AUP27" s="160"/>
      <c r="AUQ27" s="160"/>
      <c r="AUR27" s="160"/>
      <c r="AUS27" s="160"/>
      <c r="AUT27" s="160"/>
      <c r="AUU27" s="160"/>
      <c r="AUV27" s="160"/>
      <c r="AUW27" s="160"/>
      <c r="AUX27" s="160"/>
      <c r="AUY27" s="160"/>
      <c r="AUZ27" s="160"/>
      <c r="AVA27" s="160"/>
      <c r="AVB27" s="160"/>
      <c r="AVC27" s="160"/>
      <c r="AVD27" s="160"/>
      <c r="AVE27" s="160"/>
      <c r="AVF27" s="160"/>
      <c r="AVG27" s="160"/>
      <c r="AVH27" s="160"/>
      <c r="AVI27" s="160"/>
      <c r="AVJ27" s="160"/>
      <c r="AVK27" s="160"/>
      <c r="AVL27" s="160"/>
      <c r="AVM27" s="160"/>
      <c r="AVN27" s="160"/>
      <c r="AVO27" s="160"/>
      <c r="AVP27" s="160"/>
      <c r="AVQ27" s="160"/>
      <c r="AVR27" s="160"/>
      <c r="AVS27" s="160"/>
      <c r="AVT27" s="160"/>
      <c r="AVU27" s="160"/>
      <c r="AVV27" s="160"/>
      <c r="AVW27" s="160"/>
      <c r="AVX27" s="160"/>
      <c r="AVY27" s="160"/>
      <c r="AVZ27" s="160"/>
      <c r="AWA27" s="160"/>
      <c r="AWB27" s="160"/>
      <c r="AWC27" s="160"/>
      <c r="AWD27" s="160"/>
      <c r="AWE27" s="160"/>
      <c r="AWF27" s="160"/>
      <c r="AWG27" s="160"/>
      <c r="AWH27" s="160"/>
      <c r="AWI27" s="160"/>
      <c r="AWJ27" s="160"/>
      <c r="AWK27" s="160"/>
      <c r="AWL27" s="160"/>
      <c r="AWM27" s="160"/>
      <c r="AWN27" s="160"/>
      <c r="AWO27" s="160"/>
      <c r="AWP27" s="160"/>
      <c r="AWQ27" s="160"/>
      <c r="AWR27" s="160"/>
      <c r="AWS27" s="160"/>
      <c r="AWT27" s="160"/>
      <c r="AWU27" s="160"/>
      <c r="AWV27" s="160"/>
      <c r="AWW27" s="160"/>
      <c r="AWX27" s="160"/>
      <c r="AWY27" s="160"/>
      <c r="AWZ27" s="160"/>
      <c r="AXA27" s="160"/>
      <c r="AXB27" s="160"/>
      <c r="AXC27" s="160"/>
      <c r="AXD27" s="160"/>
      <c r="AXE27" s="160"/>
      <c r="AXF27" s="160"/>
      <c r="AXG27" s="160"/>
      <c r="AXH27" s="160"/>
      <c r="AXI27" s="160"/>
      <c r="AXJ27" s="160"/>
      <c r="AXK27" s="160"/>
      <c r="AXL27" s="160"/>
      <c r="AXM27" s="160"/>
      <c r="AXN27" s="160"/>
      <c r="AXO27" s="160"/>
      <c r="AXP27" s="160"/>
      <c r="AXQ27" s="160"/>
      <c r="AXR27" s="160"/>
      <c r="AXS27" s="160"/>
      <c r="AXT27" s="160"/>
      <c r="AXU27" s="160"/>
      <c r="AXV27" s="160"/>
      <c r="AXW27" s="160"/>
      <c r="AXX27" s="160"/>
      <c r="AXY27" s="160"/>
      <c r="AXZ27" s="160"/>
      <c r="AYA27" s="160"/>
      <c r="AYB27" s="160"/>
      <c r="AYC27" s="160"/>
      <c r="AYD27" s="160"/>
      <c r="AYE27" s="160"/>
      <c r="AYF27" s="160"/>
      <c r="AYG27" s="160"/>
      <c r="AYH27" s="160"/>
      <c r="AYI27" s="160"/>
      <c r="AYJ27" s="160"/>
      <c r="AYK27" s="160"/>
      <c r="AYL27" s="160"/>
      <c r="AYM27" s="160"/>
      <c r="AYN27" s="160"/>
      <c r="AYO27" s="160"/>
      <c r="AYP27" s="160"/>
      <c r="AYQ27" s="160"/>
      <c r="AYR27" s="160"/>
      <c r="AYS27" s="160"/>
      <c r="AYT27" s="160"/>
      <c r="AYU27" s="160"/>
      <c r="AYV27" s="160"/>
      <c r="AYW27" s="160"/>
      <c r="AYX27" s="160"/>
      <c r="AYY27" s="160"/>
      <c r="AYZ27" s="160"/>
      <c r="AZA27" s="160"/>
      <c r="AZB27" s="160"/>
      <c r="AZC27" s="160"/>
      <c r="AZD27" s="160"/>
      <c r="AZE27" s="160"/>
      <c r="AZF27" s="160"/>
      <c r="AZG27" s="160"/>
      <c r="AZH27" s="160"/>
      <c r="AZI27" s="160"/>
      <c r="AZJ27" s="160"/>
      <c r="AZK27" s="160"/>
      <c r="AZL27" s="160"/>
      <c r="AZM27" s="160"/>
      <c r="AZN27" s="160"/>
      <c r="AZO27" s="160"/>
      <c r="AZP27" s="160"/>
      <c r="AZQ27" s="160"/>
      <c r="AZR27" s="160"/>
      <c r="AZS27" s="160"/>
      <c r="AZT27" s="160"/>
      <c r="AZU27" s="160"/>
      <c r="AZV27" s="160"/>
      <c r="AZW27" s="160"/>
      <c r="AZX27" s="160"/>
      <c r="AZY27" s="160"/>
      <c r="AZZ27" s="160"/>
      <c r="BAA27" s="160"/>
      <c r="BAB27" s="160"/>
      <c r="BAC27" s="160"/>
      <c r="BAD27" s="160"/>
      <c r="BAE27" s="160"/>
      <c r="BAF27" s="160"/>
      <c r="BAG27" s="160"/>
      <c r="BAH27" s="160"/>
      <c r="BAI27" s="160"/>
      <c r="BAJ27" s="160"/>
      <c r="BAK27" s="160"/>
      <c r="BAL27" s="160"/>
      <c r="BAM27" s="160"/>
      <c r="BAN27" s="160"/>
      <c r="BAO27" s="160"/>
      <c r="BAP27" s="160"/>
      <c r="BAQ27" s="160"/>
      <c r="BAR27" s="160"/>
      <c r="BAS27" s="160"/>
      <c r="BAT27" s="160"/>
      <c r="BAU27" s="160"/>
      <c r="BAV27" s="160"/>
      <c r="BAW27" s="160"/>
      <c r="BAX27" s="160"/>
      <c r="BAY27" s="160"/>
      <c r="BAZ27" s="160"/>
      <c r="BBA27" s="160"/>
      <c r="BBB27" s="160"/>
      <c r="BBC27" s="160"/>
      <c r="BBD27" s="160"/>
      <c r="BBE27" s="160"/>
      <c r="BBF27" s="160"/>
      <c r="BBG27" s="160"/>
      <c r="BBH27" s="160"/>
      <c r="BBI27" s="160"/>
      <c r="BBJ27" s="160"/>
      <c r="BBK27" s="160"/>
      <c r="BBL27" s="160"/>
      <c r="BBM27" s="160"/>
      <c r="BBN27" s="160"/>
      <c r="BBO27" s="160"/>
      <c r="BBP27" s="160"/>
      <c r="BBQ27" s="160"/>
      <c r="BBR27" s="160"/>
      <c r="BBS27" s="160"/>
      <c r="BBT27" s="160"/>
      <c r="BBU27" s="160"/>
      <c r="BBV27" s="160"/>
      <c r="BBW27" s="160"/>
      <c r="BBX27" s="160"/>
      <c r="BBY27" s="160"/>
      <c r="BBZ27" s="160"/>
      <c r="BCA27" s="160"/>
      <c r="BCB27" s="160"/>
      <c r="BCC27" s="160"/>
      <c r="BCD27" s="160"/>
      <c r="BCE27" s="160"/>
      <c r="BCF27" s="160"/>
      <c r="BCG27" s="160"/>
      <c r="BCH27" s="160"/>
      <c r="BCI27" s="160"/>
      <c r="BCJ27" s="160"/>
      <c r="BCK27" s="160"/>
      <c r="BCL27" s="160"/>
      <c r="BCM27" s="160"/>
      <c r="BCN27" s="160"/>
      <c r="BCO27" s="160"/>
      <c r="BCP27" s="160"/>
      <c r="BCQ27" s="160"/>
      <c r="BCR27" s="160"/>
      <c r="BCS27" s="160"/>
      <c r="BCT27" s="160"/>
      <c r="BCU27" s="160"/>
      <c r="BCV27" s="160"/>
      <c r="BCW27" s="160"/>
      <c r="BCX27" s="160"/>
      <c r="BCY27" s="160"/>
      <c r="BCZ27" s="160"/>
      <c r="BDA27" s="160"/>
      <c r="BDB27" s="160"/>
      <c r="BDC27" s="160"/>
      <c r="BDD27" s="160"/>
      <c r="BDE27" s="160"/>
      <c r="BDF27" s="160"/>
      <c r="BDG27" s="160"/>
      <c r="BDH27" s="160"/>
      <c r="BDI27" s="160"/>
      <c r="BDJ27" s="160"/>
      <c r="BDK27" s="160"/>
      <c r="BDL27" s="160"/>
      <c r="BDM27" s="160"/>
      <c r="BDN27" s="160"/>
      <c r="BDO27" s="160"/>
      <c r="BDP27" s="160"/>
      <c r="BDQ27" s="160"/>
      <c r="BDR27" s="160"/>
      <c r="BDS27" s="160"/>
      <c r="BDT27" s="160"/>
      <c r="BDU27" s="160"/>
      <c r="BDV27" s="160"/>
      <c r="BDW27" s="160"/>
      <c r="BDX27" s="160"/>
      <c r="BDY27" s="160"/>
      <c r="BDZ27" s="160"/>
      <c r="BEA27" s="160"/>
      <c r="BEB27" s="160"/>
      <c r="BEC27" s="160"/>
      <c r="BED27" s="160"/>
      <c r="BEE27" s="160"/>
      <c r="BEF27" s="160"/>
      <c r="BEG27" s="160"/>
      <c r="BEH27" s="160"/>
      <c r="BEI27" s="160"/>
      <c r="BEJ27" s="160"/>
      <c r="BEK27" s="160"/>
      <c r="BEL27" s="160"/>
      <c r="BEM27" s="160"/>
      <c r="BEN27" s="160"/>
      <c r="BEO27" s="160"/>
      <c r="BEP27" s="160"/>
      <c r="BEQ27" s="160"/>
      <c r="BER27" s="160"/>
      <c r="BES27" s="160"/>
      <c r="BET27" s="160"/>
      <c r="BEU27" s="160"/>
      <c r="BEV27" s="160"/>
      <c r="BEW27" s="160"/>
      <c r="BEX27" s="160"/>
      <c r="BEY27" s="160"/>
      <c r="BEZ27" s="160"/>
      <c r="BFA27" s="160"/>
      <c r="BFB27" s="160"/>
      <c r="BFC27" s="160"/>
      <c r="BFD27" s="160"/>
      <c r="BFE27" s="160"/>
      <c r="BFF27" s="160"/>
      <c r="BFG27" s="160"/>
      <c r="BFH27" s="160"/>
      <c r="BFI27" s="160"/>
      <c r="BFJ27" s="160"/>
      <c r="BFK27" s="160"/>
      <c r="BFL27" s="160"/>
      <c r="BFM27" s="160"/>
      <c r="BFN27" s="160"/>
      <c r="BFO27" s="160"/>
      <c r="BFP27" s="160"/>
      <c r="BFQ27" s="160"/>
      <c r="BFR27" s="160"/>
      <c r="BFS27" s="160"/>
      <c r="BFT27" s="160"/>
      <c r="BFU27" s="160"/>
      <c r="BFV27" s="160"/>
      <c r="BFW27" s="160"/>
      <c r="BFX27" s="160"/>
      <c r="BFY27" s="160"/>
      <c r="BFZ27" s="160"/>
      <c r="BGA27" s="160"/>
      <c r="BGB27" s="160"/>
      <c r="BGC27" s="160"/>
      <c r="BGD27" s="160"/>
      <c r="BGE27" s="160"/>
      <c r="BGF27" s="160"/>
      <c r="BGG27" s="160"/>
      <c r="BGH27" s="160"/>
      <c r="BGI27" s="160"/>
      <c r="BGJ27" s="160"/>
      <c r="BGK27" s="160"/>
      <c r="BGL27" s="160"/>
      <c r="BGM27" s="160"/>
      <c r="BGN27" s="160"/>
      <c r="BGO27" s="160"/>
      <c r="BGP27" s="160"/>
      <c r="BGQ27" s="160"/>
      <c r="BGR27" s="160"/>
      <c r="BGS27" s="160"/>
      <c r="BGT27" s="160"/>
      <c r="BGU27" s="160"/>
      <c r="BGV27" s="160"/>
      <c r="BGW27" s="160"/>
      <c r="BGX27" s="160"/>
      <c r="BGY27" s="160"/>
      <c r="BGZ27" s="160"/>
      <c r="BHA27" s="160"/>
      <c r="BHB27" s="160"/>
      <c r="BHC27" s="160"/>
      <c r="BHD27" s="160"/>
      <c r="BHE27" s="160"/>
      <c r="BHF27" s="160"/>
      <c r="BHG27" s="160"/>
      <c r="BHH27" s="160"/>
      <c r="BHI27" s="160"/>
      <c r="BHJ27" s="160"/>
      <c r="BHK27" s="160"/>
      <c r="BHL27" s="160"/>
      <c r="BHM27" s="160"/>
      <c r="BHN27" s="160"/>
      <c r="BHO27" s="160"/>
      <c r="BHP27" s="160"/>
      <c r="BHQ27" s="160"/>
      <c r="BHR27" s="160"/>
      <c r="BHS27" s="160"/>
      <c r="BHT27" s="160"/>
      <c r="BHU27" s="160"/>
      <c r="BHV27" s="160"/>
      <c r="BHW27" s="160"/>
      <c r="BHX27" s="160"/>
      <c r="BHY27" s="160"/>
      <c r="BHZ27" s="160"/>
      <c r="BIA27" s="160"/>
      <c r="BIB27" s="160"/>
      <c r="BIC27" s="160"/>
      <c r="BID27" s="160"/>
      <c r="BIE27" s="160"/>
      <c r="BIF27" s="160"/>
      <c r="BIG27" s="160"/>
      <c r="BIH27" s="160"/>
      <c r="BII27" s="160"/>
      <c r="BIJ27" s="160"/>
      <c r="BIK27" s="160"/>
      <c r="BIL27" s="160"/>
      <c r="BIM27" s="160"/>
      <c r="BIN27" s="160"/>
      <c r="BIO27" s="160"/>
      <c r="BIP27" s="160"/>
      <c r="BIQ27" s="160"/>
      <c r="BIR27" s="160"/>
      <c r="BIS27" s="160"/>
      <c r="BIT27" s="160"/>
      <c r="BIU27" s="160"/>
      <c r="BIV27" s="160"/>
      <c r="BIW27" s="160"/>
      <c r="BIX27" s="160"/>
      <c r="BIY27" s="160"/>
      <c r="BIZ27" s="160"/>
      <c r="BJA27" s="160"/>
      <c r="BJB27" s="160"/>
      <c r="BJC27" s="160"/>
      <c r="BJD27" s="160"/>
      <c r="BJE27" s="160"/>
      <c r="BJF27" s="160"/>
      <c r="BJG27" s="160"/>
      <c r="BJH27" s="160"/>
      <c r="BJI27" s="160"/>
      <c r="BJJ27" s="160"/>
      <c r="BJK27" s="160"/>
      <c r="BJL27" s="160"/>
      <c r="BJM27" s="160"/>
      <c r="BJN27" s="160"/>
      <c r="BJO27" s="160"/>
      <c r="BJP27" s="160"/>
      <c r="BJQ27" s="160"/>
      <c r="BJR27" s="160"/>
      <c r="BJS27" s="160"/>
      <c r="BJT27" s="160"/>
      <c r="BJU27" s="160"/>
      <c r="BJV27" s="160"/>
      <c r="BJW27" s="160"/>
      <c r="BJX27" s="160"/>
      <c r="BJY27" s="160"/>
      <c r="BJZ27" s="160"/>
      <c r="BKA27" s="160"/>
      <c r="BKB27" s="160"/>
      <c r="BKC27" s="160"/>
      <c r="BKD27" s="160"/>
      <c r="BKE27" s="160"/>
      <c r="BKF27" s="160"/>
      <c r="BKG27" s="160"/>
      <c r="BKH27" s="160"/>
      <c r="BKI27" s="160"/>
      <c r="BKJ27" s="160"/>
      <c r="BKK27" s="160"/>
      <c r="BKL27" s="160"/>
      <c r="BKM27" s="160"/>
      <c r="BKN27" s="160"/>
      <c r="BKO27" s="160"/>
      <c r="BKP27" s="160"/>
      <c r="BKQ27" s="160"/>
      <c r="BKR27" s="160"/>
      <c r="BKS27" s="160"/>
      <c r="BKT27" s="160"/>
      <c r="BKU27" s="160"/>
      <c r="BKV27" s="160"/>
      <c r="BKW27" s="160"/>
      <c r="BKX27" s="160"/>
      <c r="BKY27" s="160"/>
      <c r="BKZ27" s="160"/>
      <c r="BLA27" s="160"/>
      <c r="BLB27" s="160"/>
      <c r="BLC27" s="160"/>
      <c r="BLD27" s="160"/>
      <c r="BLE27" s="160"/>
      <c r="BLF27" s="160"/>
      <c r="BLG27" s="160"/>
      <c r="BLH27" s="160"/>
      <c r="BLI27" s="160"/>
      <c r="BLJ27" s="160"/>
      <c r="BLK27" s="160"/>
      <c r="BLL27" s="160"/>
      <c r="BLM27" s="160"/>
      <c r="BLN27" s="160"/>
      <c r="BLO27" s="160"/>
      <c r="BLP27" s="160"/>
      <c r="BLQ27" s="160"/>
      <c r="BLR27" s="160"/>
      <c r="BLS27" s="160"/>
      <c r="BLT27" s="160"/>
      <c r="BLU27" s="160"/>
      <c r="BLV27" s="160"/>
      <c r="BLW27" s="160"/>
      <c r="BLX27" s="160"/>
      <c r="BLY27" s="160"/>
      <c r="BLZ27" s="160"/>
      <c r="BMA27" s="160"/>
      <c r="BMB27" s="160"/>
      <c r="BMC27" s="160"/>
      <c r="BMD27" s="160"/>
      <c r="BME27" s="160"/>
      <c r="BMF27" s="160"/>
      <c r="BMG27" s="160"/>
      <c r="BMH27" s="160"/>
      <c r="BMI27" s="160"/>
      <c r="BMJ27" s="160"/>
      <c r="BMK27" s="160"/>
      <c r="BML27" s="160"/>
      <c r="BMM27" s="160"/>
      <c r="BMN27" s="160"/>
      <c r="BMO27" s="160"/>
      <c r="BMP27" s="160"/>
      <c r="BMQ27" s="160"/>
      <c r="BMR27" s="160"/>
      <c r="BMS27" s="160"/>
      <c r="BMT27" s="160"/>
      <c r="BMU27" s="160"/>
      <c r="BMV27" s="160"/>
      <c r="BMW27" s="160"/>
      <c r="BMX27" s="160"/>
      <c r="BMY27" s="160"/>
      <c r="BMZ27" s="160"/>
      <c r="BNA27" s="160"/>
      <c r="BNB27" s="160"/>
      <c r="BNC27" s="160"/>
      <c r="BND27" s="160"/>
      <c r="BNE27" s="160"/>
      <c r="BNF27" s="160"/>
      <c r="BNG27" s="160"/>
      <c r="BNH27" s="160"/>
      <c r="BNI27" s="160"/>
      <c r="BNJ27" s="160"/>
      <c r="BNK27" s="160"/>
      <c r="BNL27" s="160"/>
      <c r="BNM27" s="160"/>
      <c r="BNN27" s="160"/>
      <c r="BNO27" s="160"/>
      <c r="BNP27" s="160"/>
      <c r="BNQ27" s="160"/>
      <c r="BNR27" s="160"/>
      <c r="BNS27" s="160"/>
      <c r="BNT27" s="160"/>
      <c r="BNU27" s="160"/>
      <c r="BNV27" s="160"/>
      <c r="BNW27" s="160"/>
      <c r="BNX27" s="160"/>
      <c r="BNY27" s="160"/>
      <c r="BNZ27" s="160"/>
      <c r="BOA27" s="160"/>
      <c r="BOB27" s="160"/>
      <c r="BOC27" s="160"/>
      <c r="BOD27" s="160"/>
      <c r="BOE27" s="160"/>
      <c r="BOF27" s="160"/>
      <c r="BOG27" s="160"/>
      <c r="BOH27" s="160"/>
      <c r="BOI27" s="160"/>
      <c r="BOJ27" s="160"/>
      <c r="BOK27" s="160"/>
      <c r="BOL27" s="160"/>
      <c r="BOM27" s="160"/>
      <c r="BON27" s="160"/>
      <c r="BOO27" s="160"/>
      <c r="BOP27" s="160"/>
      <c r="BOQ27" s="160"/>
      <c r="BOR27" s="160"/>
      <c r="BOS27" s="160"/>
      <c r="BOT27" s="160"/>
      <c r="BOU27" s="160"/>
      <c r="BOV27" s="160"/>
      <c r="BOW27" s="160"/>
      <c r="BOX27" s="160"/>
      <c r="BOY27" s="160"/>
      <c r="BOZ27" s="160"/>
      <c r="BPA27" s="160"/>
      <c r="BPB27" s="160"/>
      <c r="BPC27" s="160"/>
      <c r="BPD27" s="160"/>
      <c r="BPE27" s="160"/>
      <c r="BPF27" s="160"/>
      <c r="BPG27" s="160"/>
      <c r="BPH27" s="160"/>
      <c r="BPI27" s="160"/>
      <c r="BPJ27" s="160"/>
      <c r="BPK27" s="160"/>
      <c r="BPL27" s="160"/>
      <c r="BPM27" s="160"/>
      <c r="BPN27" s="160"/>
      <c r="BPO27" s="160"/>
      <c r="BPP27" s="160"/>
      <c r="BPQ27" s="160"/>
      <c r="BPR27" s="160"/>
      <c r="BPS27" s="160"/>
      <c r="BPT27" s="160"/>
      <c r="BPU27" s="160"/>
      <c r="BPV27" s="160"/>
      <c r="BPW27" s="160"/>
      <c r="BPX27" s="160"/>
      <c r="BPY27" s="160"/>
      <c r="BPZ27" s="160"/>
      <c r="BQA27" s="160"/>
      <c r="BQB27" s="160"/>
      <c r="BQC27" s="160"/>
      <c r="BQD27" s="160"/>
      <c r="BQE27" s="160"/>
      <c r="BQF27" s="160"/>
      <c r="BQG27" s="160"/>
      <c r="BQH27" s="160"/>
      <c r="BQI27" s="160"/>
      <c r="BQJ27" s="160"/>
      <c r="BQK27" s="160"/>
      <c r="BQL27" s="160"/>
      <c r="BQM27" s="160"/>
      <c r="BQN27" s="160"/>
      <c r="BQO27" s="160"/>
      <c r="BQP27" s="160"/>
      <c r="BQQ27" s="160"/>
      <c r="BQR27" s="160"/>
      <c r="BQS27" s="160"/>
      <c r="BQT27" s="160"/>
      <c r="BQU27" s="160"/>
      <c r="BQV27" s="160"/>
      <c r="BQW27" s="160"/>
      <c r="BQX27" s="160"/>
      <c r="BQY27" s="160"/>
      <c r="BQZ27" s="160"/>
      <c r="BRA27" s="160"/>
      <c r="BRB27" s="160"/>
      <c r="BRC27" s="160"/>
      <c r="BRD27" s="160"/>
      <c r="BRE27" s="160"/>
      <c r="BRF27" s="160"/>
      <c r="BRG27" s="160"/>
      <c r="BRH27" s="160"/>
      <c r="BRI27" s="160"/>
      <c r="BRJ27" s="160"/>
      <c r="BRK27" s="160"/>
      <c r="BRL27" s="160"/>
      <c r="BRM27" s="160"/>
      <c r="BRN27" s="160"/>
      <c r="BRO27" s="160"/>
      <c r="BRP27" s="160"/>
      <c r="BRQ27" s="160"/>
      <c r="BRR27" s="160"/>
      <c r="BRS27" s="160"/>
      <c r="BRT27" s="160"/>
      <c r="BRU27" s="160"/>
      <c r="BRV27" s="160"/>
      <c r="BRW27" s="160"/>
      <c r="BRX27" s="160"/>
      <c r="BRY27" s="160"/>
      <c r="BRZ27" s="160"/>
      <c r="BSA27" s="160"/>
      <c r="BSB27" s="160"/>
      <c r="BSC27" s="160"/>
      <c r="BSD27" s="160"/>
      <c r="BSE27" s="160"/>
      <c r="BSF27" s="160"/>
      <c r="BSG27" s="160"/>
      <c r="BSH27" s="160"/>
      <c r="BSI27" s="160"/>
      <c r="BSJ27" s="160"/>
      <c r="BSK27" s="160"/>
      <c r="BSL27" s="160"/>
      <c r="BSM27" s="160"/>
      <c r="BSN27" s="160"/>
      <c r="BSO27" s="160"/>
      <c r="BSP27" s="160"/>
      <c r="BSQ27" s="160"/>
      <c r="BSR27" s="160"/>
      <c r="BSS27" s="160"/>
      <c r="BST27" s="160"/>
      <c r="BSU27" s="160"/>
      <c r="BSV27" s="160"/>
      <c r="BSW27" s="160"/>
      <c r="BSX27" s="160"/>
      <c r="BSY27" s="160"/>
      <c r="BSZ27" s="160"/>
      <c r="BTA27" s="160"/>
      <c r="BTB27" s="160"/>
      <c r="BTC27" s="160"/>
      <c r="BTD27" s="160"/>
      <c r="BTE27" s="160"/>
      <c r="BTF27" s="160"/>
      <c r="BTG27" s="160"/>
      <c r="BTH27" s="160"/>
      <c r="BTI27" s="160"/>
      <c r="BTJ27" s="160"/>
      <c r="BTK27" s="160"/>
      <c r="BTL27" s="160"/>
      <c r="BTM27" s="160"/>
      <c r="BTN27" s="160"/>
      <c r="BTO27" s="160"/>
      <c r="BTP27" s="160"/>
      <c r="BTQ27" s="160"/>
      <c r="BTR27" s="160"/>
      <c r="BTS27" s="160"/>
      <c r="BTT27" s="160"/>
      <c r="BTU27" s="160"/>
      <c r="BTV27" s="160"/>
      <c r="BTW27" s="160"/>
      <c r="BTX27" s="160"/>
      <c r="BTY27" s="160"/>
      <c r="BTZ27" s="160"/>
      <c r="BUA27" s="160"/>
      <c r="BUB27" s="160"/>
      <c r="BUC27" s="160"/>
      <c r="BUD27" s="160"/>
      <c r="BUE27" s="160"/>
      <c r="BUF27" s="160"/>
      <c r="BUG27" s="160"/>
      <c r="BUH27" s="160"/>
      <c r="BUI27" s="160"/>
      <c r="BUJ27" s="160"/>
      <c r="BUK27" s="160"/>
      <c r="BUL27" s="160"/>
      <c r="BUM27" s="160"/>
      <c r="BUN27" s="160"/>
      <c r="BUO27" s="160"/>
      <c r="BUP27" s="160"/>
      <c r="BUQ27" s="160"/>
      <c r="BUR27" s="160"/>
      <c r="BUS27" s="160"/>
      <c r="BUT27" s="160"/>
      <c r="BUU27" s="160"/>
      <c r="BUV27" s="160"/>
      <c r="BUW27" s="160"/>
      <c r="BUX27" s="160"/>
      <c r="BUY27" s="160"/>
      <c r="BUZ27" s="160"/>
      <c r="BVA27" s="160"/>
      <c r="BVB27" s="160"/>
      <c r="BVC27" s="160"/>
      <c r="BVD27" s="160"/>
      <c r="BVE27" s="160"/>
      <c r="BVF27" s="160"/>
      <c r="BVG27" s="160"/>
      <c r="BVH27" s="160"/>
      <c r="BVI27" s="160"/>
      <c r="BVJ27" s="160"/>
      <c r="BVK27" s="160"/>
      <c r="BVL27" s="160"/>
      <c r="BVM27" s="160"/>
      <c r="BVN27" s="160"/>
      <c r="BVO27" s="160"/>
      <c r="BVP27" s="160"/>
      <c r="BVQ27" s="160"/>
      <c r="BVR27" s="160"/>
      <c r="BVS27" s="160"/>
      <c r="BVT27" s="160"/>
      <c r="BVU27" s="160"/>
      <c r="BVV27" s="160"/>
      <c r="BVW27" s="160"/>
      <c r="BVX27" s="160"/>
      <c r="BVY27" s="160"/>
      <c r="BVZ27" s="160"/>
      <c r="BWA27" s="160"/>
      <c r="BWB27" s="160"/>
      <c r="BWC27" s="160"/>
      <c r="BWD27" s="160"/>
      <c r="BWE27" s="160"/>
      <c r="BWF27" s="160"/>
      <c r="BWG27" s="160"/>
      <c r="BWH27" s="160"/>
      <c r="BWI27" s="160"/>
      <c r="BWJ27" s="160"/>
      <c r="BWK27" s="160"/>
      <c r="BWL27" s="160"/>
      <c r="BWM27" s="160"/>
      <c r="BWN27" s="160"/>
      <c r="BWO27" s="160"/>
      <c r="BWP27" s="160"/>
      <c r="BWQ27" s="160"/>
      <c r="BWR27" s="160"/>
      <c r="BWS27" s="160"/>
      <c r="BWT27" s="160"/>
      <c r="BWU27" s="160"/>
      <c r="BWV27" s="160"/>
      <c r="BWW27" s="160"/>
      <c r="BWX27" s="160"/>
      <c r="BWY27" s="160"/>
      <c r="BWZ27" s="160"/>
      <c r="BXA27" s="160"/>
      <c r="BXB27" s="160"/>
      <c r="BXC27" s="160"/>
      <c r="BXD27" s="160"/>
      <c r="BXE27" s="160"/>
      <c r="BXF27" s="160"/>
      <c r="BXG27" s="160"/>
      <c r="BXH27" s="160"/>
      <c r="BXI27" s="160"/>
      <c r="BXJ27" s="160"/>
      <c r="BXK27" s="160"/>
      <c r="BXL27" s="160"/>
      <c r="BXM27" s="160"/>
      <c r="BXN27" s="160"/>
      <c r="BXO27" s="160"/>
      <c r="BXP27" s="160"/>
      <c r="BXQ27" s="160"/>
      <c r="BXR27" s="160"/>
      <c r="BXS27" s="160"/>
      <c r="BXT27" s="160"/>
      <c r="BXU27" s="160"/>
      <c r="BXV27" s="160"/>
      <c r="BXW27" s="160"/>
      <c r="BXX27" s="160"/>
      <c r="BXY27" s="160"/>
      <c r="BXZ27" s="160"/>
      <c r="BYA27" s="160"/>
      <c r="BYB27" s="160"/>
      <c r="BYC27" s="160"/>
      <c r="BYD27" s="160"/>
      <c r="BYE27" s="160"/>
      <c r="BYF27" s="160"/>
      <c r="BYG27" s="160"/>
    </row>
    <row r="28" spans="1:2009" s="3" customFormat="1" ht="12.75" hidden="1" customHeight="1" thickBot="1" x14ac:dyDescent="0.3">
      <c r="A28" s="72"/>
      <c r="B28" s="72"/>
      <c r="C28" s="136"/>
      <c r="D28" s="136"/>
      <c r="E28" s="136"/>
      <c r="F28" s="136"/>
      <c r="G28" s="511"/>
      <c r="I28" s="26"/>
    </row>
    <row r="29" spans="1:2009" s="80" customFormat="1" ht="24.95" customHeight="1" x14ac:dyDescent="0.25">
      <c r="A29" s="107" t="s">
        <v>150</v>
      </c>
      <c r="B29" s="108"/>
      <c r="C29" s="147"/>
      <c r="D29" s="147"/>
      <c r="E29" s="148"/>
      <c r="F29" s="148"/>
      <c r="G29" s="519"/>
      <c r="H29"/>
      <c r="I29" s="21"/>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row>
    <row r="30" spans="1:2009" s="80" customFormat="1" ht="24.95" hidden="1" customHeight="1" x14ac:dyDescent="0.25">
      <c r="A30" s="299"/>
      <c r="B30" s="84" t="s">
        <v>461</v>
      </c>
      <c r="C30" s="149"/>
      <c r="D30" s="149"/>
      <c r="E30" s="150"/>
      <c r="F30" s="150"/>
      <c r="G30" s="520">
        <f>SUM(C30:F30)</f>
        <v>0</v>
      </c>
      <c r="H30"/>
      <c r="I30" s="21"/>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c r="BOL30"/>
      <c r="BOM30"/>
      <c r="BON30"/>
      <c r="BOO30"/>
      <c r="BOP30"/>
      <c r="BOQ30"/>
      <c r="BOR30"/>
      <c r="BOS30"/>
      <c r="BOT30"/>
      <c r="BOU30"/>
      <c r="BOV30"/>
      <c r="BOW30"/>
      <c r="BOX30"/>
      <c r="BOY30"/>
      <c r="BOZ30"/>
      <c r="BPA30"/>
      <c r="BPB30"/>
      <c r="BPC30"/>
      <c r="BPD30"/>
      <c r="BPE30"/>
      <c r="BPF30"/>
      <c r="BPG30"/>
      <c r="BPH30"/>
      <c r="BPI30"/>
      <c r="BPJ30"/>
      <c r="BPK30"/>
      <c r="BPL30"/>
      <c r="BPM30"/>
      <c r="BPN30"/>
      <c r="BPO30"/>
      <c r="BPP30"/>
      <c r="BPQ30"/>
      <c r="BPR30"/>
      <c r="BPS30"/>
      <c r="BPT30"/>
      <c r="BPU30"/>
      <c r="BPV30"/>
      <c r="BPW30"/>
      <c r="BPX30"/>
      <c r="BPY30"/>
      <c r="BPZ30"/>
      <c r="BQA30"/>
      <c r="BQB30"/>
      <c r="BQC30"/>
      <c r="BQD30"/>
      <c r="BQE30"/>
      <c r="BQF30"/>
      <c r="BQG30"/>
      <c r="BQH30"/>
      <c r="BQI30"/>
      <c r="BQJ30"/>
      <c r="BQK30"/>
      <c r="BQL30"/>
      <c r="BQM30"/>
      <c r="BQN30"/>
      <c r="BQO30"/>
      <c r="BQP30"/>
      <c r="BQQ30"/>
      <c r="BQR30"/>
      <c r="BQS30"/>
      <c r="BQT30"/>
      <c r="BQU30"/>
      <c r="BQV30"/>
      <c r="BQW30"/>
      <c r="BQX30"/>
      <c r="BQY30"/>
      <c r="BQZ30"/>
      <c r="BRA30"/>
      <c r="BRB30"/>
      <c r="BRC30"/>
      <c r="BRD30"/>
      <c r="BRE30"/>
      <c r="BRF30"/>
      <c r="BRG30"/>
      <c r="BRH30"/>
      <c r="BRI30"/>
      <c r="BRJ30"/>
      <c r="BRK30"/>
      <c r="BRL30"/>
      <c r="BRM30"/>
      <c r="BRN30"/>
      <c r="BRO30"/>
      <c r="BRP30"/>
      <c r="BRQ30"/>
      <c r="BRR30"/>
      <c r="BRS30"/>
      <c r="BRT30"/>
      <c r="BRU30"/>
      <c r="BRV30"/>
      <c r="BRW30"/>
      <c r="BRX30"/>
      <c r="BRY30"/>
      <c r="BRZ30"/>
      <c r="BSA30"/>
      <c r="BSB30"/>
      <c r="BSC30"/>
      <c r="BSD30"/>
      <c r="BSE30"/>
      <c r="BSF30"/>
      <c r="BSG30"/>
      <c r="BSH30"/>
      <c r="BSI30"/>
      <c r="BSJ30"/>
      <c r="BSK30"/>
      <c r="BSL30"/>
      <c r="BSM30"/>
      <c r="BSN30"/>
      <c r="BSO30"/>
      <c r="BSP30"/>
      <c r="BSQ30"/>
      <c r="BSR30"/>
      <c r="BSS30"/>
      <c r="BST30"/>
      <c r="BSU30"/>
      <c r="BSV30"/>
      <c r="BSW30"/>
      <c r="BSX30"/>
      <c r="BSY30"/>
      <c r="BSZ30"/>
      <c r="BTA30"/>
      <c r="BTB30"/>
      <c r="BTC30"/>
      <c r="BTD30"/>
      <c r="BTE30"/>
      <c r="BTF30"/>
      <c r="BTG30"/>
      <c r="BTH30"/>
      <c r="BTI30"/>
      <c r="BTJ30"/>
      <c r="BTK30"/>
      <c r="BTL30"/>
      <c r="BTM30"/>
      <c r="BTN30"/>
      <c r="BTO30"/>
      <c r="BTP30"/>
      <c r="BTQ30"/>
      <c r="BTR30"/>
      <c r="BTS30"/>
      <c r="BTT30"/>
      <c r="BTU30"/>
      <c r="BTV30"/>
      <c r="BTW30"/>
      <c r="BTX30"/>
      <c r="BTY30"/>
      <c r="BTZ30"/>
      <c r="BUA30"/>
      <c r="BUB30"/>
      <c r="BUC30"/>
      <c r="BUD30"/>
      <c r="BUE30"/>
      <c r="BUF30"/>
      <c r="BUG30"/>
      <c r="BUH30"/>
      <c r="BUI30"/>
      <c r="BUJ30"/>
      <c r="BUK30"/>
      <c r="BUL30"/>
      <c r="BUM30"/>
      <c r="BUN30"/>
      <c r="BUO30"/>
      <c r="BUP30"/>
      <c r="BUQ30"/>
      <c r="BUR30"/>
      <c r="BUS30"/>
      <c r="BUT30"/>
      <c r="BUU30"/>
      <c r="BUV30"/>
      <c r="BUW30"/>
      <c r="BUX30"/>
      <c r="BUY30"/>
      <c r="BUZ30"/>
      <c r="BVA30"/>
      <c r="BVB30"/>
      <c r="BVC30"/>
      <c r="BVD30"/>
      <c r="BVE30"/>
      <c r="BVF30"/>
      <c r="BVG30"/>
      <c r="BVH30"/>
      <c r="BVI30"/>
      <c r="BVJ30"/>
      <c r="BVK30"/>
      <c r="BVL30"/>
      <c r="BVM30"/>
      <c r="BVN30"/>
      <c r="BVO30"/>
      <c r="BVP30"/>
      <c r="BVQ30"/>
      <c r="BVR30"/>
      <c r="BVS30"/>
      <c r="BVT30"/>
      <c r="BVU30"/>
      <c r="BVV30"/>
      <c r="BVW30"/>
      <c r="BVX30"/>
      <c r="BVY30"/>
      <c r="BVZ30"/>
      <c r="BWA30"/>
      <c r="BWB30"/>
      <c r="BWC30"/>
      <c r="BWD30"/>
      <c r="BWE30"/>
      <c r="BWF30"/>
      <c r="BWG30"/>
      <c r="BWH30"/>
      <c r="BWI30"/>
      <c r="BWJ30"/>
      <c r="BWK30"/>
      <c r="BWL30"/>
      <c r="BWM30"/>
      <c r="BWN30"/>
      <c r="BWO30"/>
      <c r="BWP30"/>
      <c r="BWQ30"/>
      <c r="BWR30"/>
      <c r="BWS30"/>
      <c r="BWT30"/>
      <c r="BWU30"/>
      <c r="BWV30"/>
      <c r="BWW30"/>
      <c r="BWX30"/>
      <c r="BWY30"/>
      <c r="BWZ30"/>
      <c r="BXA30"/>
      <c r="BXB30"/>
      <c r="BXC30"/>
      <c r="BXD30"/>
      <c r="BXE30"/>
      <c r="BXF30"/>
      <c r="BXG30"/>
      <c r="BXH30"/>
      <c r="BXI30"/>
      <c r="BXJ30"/>
      <c r="BXK30"/>
      <c r="BXL30"/>
      <c r="BXM30"/>
      <c r="BXN30"/>
      <c r="BXO30"/>
      <c r="BXP30"/>
      <c r="BXQ30"/>
      <c r="BXR30"/>
      <c r="BXS30"/>
      <c r="BXT30"/>
      <c r="BXU30"/>
      <c r="BXV30"/>
      <c r="BXW30"/>
      <c r="BXX30"/>
      <c r="BXY30"/>
      <c r="BXZ30"/>
      <c r="BYA30"/>
      <c r="BYB30"/>
      <c r="BYC30"/>
      <c r="BYD30"/>
      <c r="BYE30"/>
      <c r="BYF30"/>
      <c r="BYG30"/>
    </row>
    <row r="31" spans="1:2009" s="80" customFormat="1" ht="24.95" customHeight="1" x14ac:dyDescent="0.25">
      <c r="A31" s="115"/>
      <c r="B31" s="84" t="s">
        <v>580</v>
      </c>
      <c r="C31" s="149">
        <v>20041.61</v>
      </c>
      <c r="D31" s="149">
        <v>20480.05</v>
      </c>
      <c r="E31" s="150">
        <v>22523.31</v>
      </c>
      <c r="F31" s="150"/>
      <c r="G31" s="520">
        <f>SUM(C31:F31)</f>
        <v>63044.97</v>
      </c>
      <c r="H31"/>
      <c r="I31" s="2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row>
    <row r="32" spans="1:2009" s="180" customFormat="1" ht="24.95" customHeight="1" thickBot="1" x14ac:dyDescent="0.3">
      <c r="A32" s="176"/>
      <c r="B32" s="177" t="s">
        <v>151</v>
      </c>
      <c r="C32" s="178">
        <f>SUM(C30:C31)</f>
        <v>20041.61</v>
      </c>
      <c r="D32" s="178">
        <f>D30+D31</f>
        <v>20480.05</v>
      </c>
      <c r="E32" s="178">
        <f>E30+E31</f>
        <v>22523.31</v>
      </c>
      <c r="F32" s="178"/>
      <c r="G32" s="643">
        <f>SUM(G30:G31)</f>
        <v>63044.97</v>
      </c>
      <c r="H32" s="160"/>
      <c r="I32" s="727"/>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79"/>
      <c r="BK32" s="179"/>
      <c r="BL32" s="179"/>
      <c r="BM32" s="179"/>
      <c r="BN32" s="179"/>
      <c r="BO32" s="179"/>
      <c r="BP32" s="179"/>
      <c r="BQ32" s="179"/>
      <c r="BR32" s="179"/>
      <c r="BS32" s="179"/>
      <c r="BT32" s="179"/>
      <c r="BU32" s="179"/>
      <c r="BV32" s="179"/>
      <c r="BW32" s="179"/>
      <c r="BX32" s="179"/>
      <c r="BY32" s="179"/>
      <c r="BZ32" s="179"/>
      <c r="CA32" s="179"/>
      <c r="CB32" s="179"/>
      <c r="CC32" s="179"/>
      <c r="CD32" s="179"/>
      <c r="CE32" s="179"/>
      <c r="CF32" s="179"/>
      <c r="CG32" s="179"/>
      <c r="CH32" s="179"/>
      <c r="CI32" s="179"/>
      <c r="CJ32" s="179"/>
      <c r="CK32" s="179"/>
      <c r="CL32" s="179"/>
      <c r="CM32" s="179"/>
      <c r="CN32" s="179"/>
      <c r="CO32" s="179"/>
      <c r="CP32" s="179"/>
      <c r="CQ32" s="179"/>
      <c r="CR32" s="179"/>
      <c r="CS32" s="179"/>
      <c r="CT32" s="179"/>
      <c r="CU32" s="179"/>
      <c r="CV32" s="179"/>
      <c r="CW32" s="179"/>
      <c r="CX32" s="179"/>
      <c r="CY32" s="179"/>
      <c r="CZ32" s="179"/>
      <c r="DA32" s="179"/>
      <c r="DB32" s="179"/>
      <c r="DC32" s="179"/>
      <c r="DD32" s="179"/>
      <c r="DE32" s="179"/>
      <c r="DF32" s="179"/>
      <c r="DG32" s="179"/>
      <c r="DH32" s="179"/>
      <c r="DI32" s="179"/>
      <c r="DJ32" s="179"/>
      <c r="DK32" s="179"/>
      <c r="DL32" s="179"/>
      <c r="DM32" s="179"/>
      <c r="DN32" s="179"/>
      <c r="DO32" s="179"/>
      <c r="DP32" s="179"/>
      <c r="DQ32" s="179"/>
      <c r="DR32" s="179"/>
      <c r="DS32" s="179"/>
      <c r="DT32" s="179"/>
      <c r="DU32" s="179"/>
      <c r="DV32" s="179"/>
      <c r="DW32" s="179"/>
      <c r="DX32" s="179"/>
      <c r="DY32" s="179"/>
      <c r="DZ32" s="179"/>
      <c r="EA32" s="179"/>
      <c r="EB32" s="179"/>
      <c r="EC32" s="179"/>
      <c r="ED32" s="179"/>
      <c r="EE32" s="179"/>
      <c r="EF32" s="179"/>
      <c r="EG32" s="179"/>
      <c r="EH32" s="179"/>
      <c r="EI32" s="179"/>
      <c r="EJ32" s="179"/>
      <c r="EK32" s="179"/>
      <c r="EL32" s="179"/>
      <c r="EM32" s="179"/>
      <c r="EN32" s="179"/>
      <c r="EO32" s="179"/>
      <c r="EP32" s="179"/>
      <c r="EQ32" s="179"/>
      <c r="ER32" s="179"/>
      <c r="ES32" s="179"/>
      <c r="ET32" s="179"/>
      <c r="EU32" s="179"/>
      <c r="EV32" s="179"/>
      <c r="EW32" s="179"/>
      <c r="EX32" s="179"/>
      <c r="EY32" s="179"/>
      <c r="EZ32" s="179"/>
      <c r="FA32" s="179"/>
      <c r="FB32" s="179"/>
      <c r="FC32" s="179"/>
      <c r="FD32" s="179"/>
      <c r="FE32" s="179"/>
      <c r="FF32" s="179"/>
      <c r="FG32" s="179"/>
      <c r="FH32" s="179"/>
      <c r="FI32" s="179"/>
      <c r="FJ32" s="179"/>
      <c r="FK32" s="179"/>
      <c r="FL32" s="179"/>
      <c r="FM32" s="179"/>
      <c r="FN32" s="179"/>
      <c r="FO32" s="179"/>
      <c r="FP32" s="179"/>
      <c r="FQ32" s="179"/>
      <c r="FR32" s="179"/>
      <c r="FS32" s="179"/>
      <c r="FT32" s="179"/>
      <c r="FU32" s="179"/>
      <c r="FV32" s="179"/>
      <c r="FW32" s="179"/>
      <c r="FX32" s="179"/>
      <c r="FY32" s="179"/>
      <c r="FZ32" s="179"/>
      <c r="GA32" s="179"/>
      <c r="GB32" s="179"/>
      <c r="GC32" s="179"/>
      <c r="GD32" s="179"/>
      <c r="GE32" s="179"/>
      <c r="GF32" s="179"/>
      <c r="GG32" s="179"/>
      <c r="GH32" s="179"/>
      <c r="GI32" s="179"/>
      <c r="GJ32" s="179"/>
      <c r="GK32" s="179"/>
      <c r="GL32" s="179"/>
      <c r="GM32" s="179"/>
      <c r="GN32" s="179"/>
      <c r="GO32" s="179"/>
      <c r="GP32" s="179"/>
      <c r="GQ32" s="179"/>
      <c r="GR32" s="179"/>
      <c r="GS32" s="179"/>
      <c r="GT32" s="179"/>
      <c r="GU32" s="179"/>
      <c r="GV32" s="179"/>
      <c r="GW32" s="179"/>
      <c r="GX32" s="179"/>
      <c r="GY32" s="179"/>
      <c r="GZ32" s="179"/>
      <c r="HA32" s="179"/>
      <c r="HB32" s="179"/>
      <c r="HC32" s="179"/>
      <c r="HD32" s="179"/>
      <c r="HE32" s="179"/>
      <c r="HF32" s="179"/>
      <c r="HG32" s="179"/>
      <c r="HH32" s="179"/>
      <c r="HI32" s="179"/>
      <c r="HJ32" s="179"/>
      <c r="HK32" s="179"/>
      <c r="HL32" s="179"/>
      <c r="HM32" s="179"/>
      <c r="HN32" s="179"/>
      <c r="HO32" s="179"/>
      <c r="HP32" s="179"/>
      <c r="HQ32" s="179"/>
      <c r="HR32" s="179"/>
      <c r="HS32" s="179"/>
      <c r="HT32" s="179"/>
      <c r="HU32" s="179"/>
      <c r="HV32" s="179"/>
      <c r="HW32" s="179"/>
      <c r="HX32" s="179"/>
      <c r="HY32" s="179"/>
      <c r="HZ32" s="179"/>
      <c r="IA32" s="179"/>
      <c r="IB32" s="179"/>
      <c r="IC32" s="179"/>
      <c r="ID32" s="179"/>
      <c r="IE32" s="179"/>
      <c r="IF32" s="179"/>
      <c r="IG32" s="179"/>
      <c r="IH32" s="179"/>
      <c r="II32" s="179"/>
      <c r="IJ32" s="179"/>
      <c r="IK32" s="179"/>
      <c r="IL32" s="179"/>
      <c r="IM32" s="179"/>
      <c r="IN32" s="179"/>
      <c r="IO32" s="179"/>
      <c r="IP32" s="179"/>
      <c r="IQ32" s="179"/>
      <c r="IR32" s="179"/>
      <c r="IS32" s="179"/>
      <c r="IT32" s="179"/>
      <c r="IU32" s="179"/>
      <c r="IV32" s="179"/>
      <c r="IW32" s="179"/>
      <c r="IX32" s="179"/>
      <c r="IY32" s="179"/>
      <c r="IZ32" s="179"/>
      <c r="JA32" s="179"/>
      <c r="JB32" s="179"/>
      <c r="JC32" s="179"/>
      <c r="JD32" s="179"/>
      <c r="JE32" s="179"/>
      <c r="JF32" s="179"/>
      <c r="JG32" s="179"/>
      <c r="JH32" s="179"/>
      <c r="JI32" s="179"/>
      <c r="JJ32" s="179"/>
      <c r="JK32" s="179"/>
      <c r="JL32" s="179"/>
      <c r="JM32" s="179"/>
      <c r="JN32" s="179"/>
      <c r="JO32" s="179"/>
      <c r="JP32" s="179"/>
      <c r="JQ32" s="179"/>
      <c r="JR32" s="179"/>
      <c r="JS32" s="179"/>
      <c r="JT32" s="179"/>
      <c r="JU32" s="179"/>
      <c r="JV32" s="179"/>
      <c r="JW32" s="179"/>
      <c r="JX32" s="179"/>
      <c r="JY32" s="179"/>
      <c r="JZ32" s="179"/>
      <c r="KA32" s="179"/>
      <c r="KB32" s="179"/>
      <c r="KC32" s="179"/>
      <c r="KD32" s="179"/>
      <c r="KE32" s="179"/>
      <c r="KF32" s="179"/>
      <c r="KG32" s="179"/>
      <c r="KH32" s="179"/>
      <c r="KI32" s="179"/>
      <c r="KJ32" s="179"/>
      <c r="KK32" s="179"/>
      <c r="KL32" s="179"/>
      <c r="KM32" s="179"/>
      <c r="KN32" s="179"/>
      <c r="KO32" s="179"/>
      <c r="KP32" s="179"/>
      <c r="KQ32" s="179"/>
      <c r="KR32" s="179"/>
      <c r="KS32" s="179"/>
      <c r="KT32" s="179"/>
      <c r="KU32" s="179"/>
      <c r="KV32" s="179"/>
      <c r="KW32" s="179"/>
      <c r="KX32" s="179"/>
      <c r="KY32" s="179"/>
      <c r="KZ32" s="179"/>
      <c r="LA32" s="179"/>
      <c r="LB32" s="179"/>
      <c r="LC32" s="179"/>
      <c r="LD32" s="179"/>
      <c r="LE32" s="179"/>
      <c r="LF32" s="179"/>
      <c r="LG32" s="179"/>
      <c r="LH32" s="179"/>
      <c r="LI32" s="179"/>
      <c r="LJ32" s="179"/>
      <c r="LK32" s="179"/>
      <c r="LL32" s="179"/>
      <c r="LM32" s="179"/>
      <c r="LN32" s="179"/>
      <c r="LO32" s="179"/>
      <c r="LP32" s="179"/>
      <c r="LQ32" s="179"/>
      <c r="LR32" s="179"/>
      <c r="LS32" s="179"/>
      <c r="LT32" s="179"/>
      <c r="LU32" s="179"/>
      <c r="LV32" s="179"/>
      <c r="LW32" s="179"/>
      <c r="LX32" s="179"/>
      <c r="LY32" s="179"/>
      <c r="LZ32" s="179"/>
      <c r="MA32" s="179"/>
      <c r="MB32" s="179"/>
      <c r="MC32" s="179"/>
      <c r="MD32" s="179"/>
      <c r="ME32" s="179"/>
      <c r="MF32" s="179"/>
      <c r="MG32" s="179"/>
      <c r="MH32" s="179"/>
      <c r="MI32" s="179"/>
      <c r="MJ32" s="179"/>
      <c r="MK32" s="179"/>
      <c r="ML32" s="179"/>
      <c r="MM32" s="179"/>
      <c r="MN32" s="179"/>
      <c r="MO32" s="179"/>
      <c r="MP32" s="179"/>
      <c r="MQ32" s="179"/>
      <c r="MR32" s="179"/>
      <c r="MS32" s="179"/>
      <c r="MT32" s="179"/>
      <c r="MU32" s="179"/>
      <c r="MV32" s="179"/>
      <c r="MW32" s="179"/>
      <c r="MX32" s="179"/>
      <c r="MY32" s="179"/>
      <c r="MZ32" s="179"/>
      <c r="NA32" s="179"/>
      <c r="NB32" s="179"/>
      <c r="NC32" s="179"/>
      <c r="ND32" s="179"/>
      <c r="NE32" s="179"/>
      <c r="NF32" s="179"/>
      <c r="NG32" s="179"/>
      <c r="NH32" s="179"/>
      <c r="NI32" s="179"/>
      <c r="NJ32" s="179"/>
      <c r="NK32" s="179"/>
      <c r="NL32" s="179"/>
      <c r="NM32" s="179"/>
      <c r="NN32" s="179"/>
      <c r="NO32" s="179"/>
      <c r="NP32" s="179"/>
      <c r="NQ32" s="179"/>
      <c r="NR32" s="179"/>
      <c r="NS32" s="179"/>
      <c r="NT32" s="179"/>
      <c r="NU32" s="179"/>
      <c r="NV32" s="179"/>
      <c r="NW32" s="179"/>
      <c r="NX32" s="179"/>
      <c r="NY32" s="179"/>
      <c r="NZ32" s="179"/>
      <c r="OA32" s="179"/>
      <c r="OB32" s="179"/>
      <c r="OC32" s="179"/>
      <c r="OD32" s="179"/>
      <c r="OE32" s="179"/>
      <c r="OF32" s="179"/>
      <c r="OG32" s="179"/>
      <c r="OH32" s="179"/>
      <c r="OI32" s="179"/>
      <c r="OJ32" s="179"/>
      <c r="OK32" s="179"/>
      <c r="OL32" s="179"/>
      <c r="OM32" s="179"/>
      <c r="ON32" s="179"/>
      <c r="OO32" s="179"/>
      <c r="OP32" s="179"/>
      <c r="OQ32" s="179"/>
      <c r="OR32" s="179"/>
      <c r="OS32" s="179"/>
      <c r="OT32" s="179"/>
      <c r="OU32" s="179"/>
      <c r="OV32" s="179"/>
      <c r="OW32" s="179"/>
      <c r="OX32" s="179"/>
      <c r="OY32" s="179"/>
      <c r="OZ32" s="179"/>
      <c r="PA32" s="179"/>
      <c r="PB32" s="179"/>
      <c r="PC32" s="179"/>
      <c r="PD32" s="179"/>
      <c r="PE32" s="179"/>
      <c r="PF32" s="179"/>
      <c r="PG32" s="179"/>
      <c r="PH32" s="179"/>
      <c r="PI32" s="179"/>
      <c r="PJ32" s="179"/>
      <c r="PK32" s="179"/>
      <c r="PL32" s="179"/>
      <c r="PM32" s="179"/>
      <c r="PN32" s="179"/>
      <c r="PO32" s="179"/>
      <c r="PP32" s="179"/>
      <c r="PQ32" s="179"/>
      <c r="PR32" s="179"/>
      <c r="PS32" s="179"/>
      <c r="PT32" s="179"/>
      <c r="PU32" s="179"/>
      <c r="PV32" s="179"/>
      <c r="PW32" s="179"/>
      <c r="PX32" s="179"/>
      <c r="PY32" s="179"/>
      <c r="PZ32" s="179"/>
      <c r="QA32" s="179"/>
      <c r="QB32" s="179"/>
      <c r="QC32" s="179"/>
      <c r="QD32" s="179"/>
      <c r="QE32" s="179"/>
      <c r="QF32" s="179"/>
      <c r="QG32" s="179"/>
      <c r="QH32" s="179"/>
      <c r="QI32" s="179"/>
      <c r="QJ32" s="179"/>
      <c r="QK32" s="179"/>
      <c r="QL32" s="179"/>
      <c r="QM32" s="179"/>
      <c r="QN32" s="179"/>
      <c r="QO32" s="179"/>
      <c r="QP32" s="179"/>
      <c r="QQ32" s="179"/>
      <c r="QR32" s="179"/>
      <c r="QS32" s="179"/>
      <c r="QT32" s="179"/>
      <c r="QU32" s="179"/>
      <c r="QV32" s="179"/>
      <c r="QW32" s="179"/>
      <c r="QX32" s="179"/>
      <c r="QY32" s="179"/>
      <c r="QZ32" s="179"/>
      <c r="RA32" s="179"/>
      <c r="RB32" s="179"/>
      <c r="RC32" s="179"/>
      <c r="RD32" s="179"/>
      <c r="RE32" s="179"/>
      <c r="RF32" s="179"/>
      <c r="RG32" s="179"/>
      <c r="RH32" s="179"/>
      <c r="RI32" s="179"/>
      <c r="RJ32" s="179"/>
      <c r="RK32" s="179"/>
      <c r="RL32" s="179"/>
      <c r="RM32" s="179"/>
      <c r="RN32" s="179"/>
      <c r="RO32" s="179"/>
      <c r="RP32" s="179"/>
      <c r="RQ32" s="179"/>
      <c r="RR32" s="179"/>
      <c r="RS32" s="179"/>
      <c r="RT32" s="179"/>
      <c r="RU32" s="179"/>
      <c r="RV32" s="179"/>
      <c r="RW32" s="179"/>
      <c r="RX32" s="179"/>
      <c r="RY32" s="179"/>
      <c r="RZ32" s="179"/>
      <c r="SA32" s="179"/>
      <c r="SB32" s="179"/>
      <c r="SC32" s="179"/>
      <c r="SD32" s="179"/>
      <c r="SE32" s="179"/>
      <c r="SF32" s="179"/>
      <c r="SG32" s="179"/>
      <c r="SH32" s="179"/>
      <c r="SI32" s="179"/>
      <c r="SJ32" s="179"/>
      <c r="SK32" s="179"/>
      <c r="SL32" s="179"/>
      <c r="SM32" s="179"/>
      <c r="SN32" s="179"/>
      <c r="SO32" s="179"/>
      <c r="SP32" s="179"/>
      <c r="SQ32" s="179"/>
      <c r="SR32" s="179"/>
      <c r="SS32" s="179"/>
      <c r="ST32" s="179"/>
      <c r="SU32" s="179"/>
      <c r="SV32" s="179"/>
      <c r="SW32" s="179"/>
      <c r="SX32" s="179"/>
      <c r="SY32" s="179"/>
      <c r="SZ32" s="179"/>
      <c r="TA32" s="179"/>
      <c r="TB32" s="179"/>
      <c r="TC32" s="179"/>
      <c r="TD32" s="179"/>
      <c r="TE32" s="179"/>
      <c r="TF32" s="179"/>
      <c r="TG32" s="179"/>
      <c r="TH32" s="179"/>
      <c r="TI32" s="179"/>
      <c r="TJ32" s="179"/>
      <c r="TK32" s="179"/>
      <c r="TL32" s="179"/>
      <c r="TM32" s="179"/>
      <c r="TN32" s="179"/>
      <c r="TO32" s="179"/>
      <c r="TP32" s="179"/>
      <c r="TQ32" s="179"/>
      <c r="TR32" s="179"/>
      <c r="TS32" s="179"/>
      <c r="TT32" s="179"/>
      <c r="TU32" s="179"/>
      <c r="TV32" s="179"/>
      <c r="TW32" s="179"/>
      <c r="TX32" s="179"/>
      <c r="TY32" s="179"/>
      <c r="TZ32" s="179"/>
      <c r="UA32" s="179"/>
      <c r="UB32" s="179"/>
      <c r="UC32" s="179"/>
      <c r="UD32" s="179"/>
      <c r="UE32" s="179"/>
      <c r="UF32" s="179"/>
      <c r="UG32" s="179"/>
      <c r="UH32" s="179"/>
      <c r="UI32" s="179"/>
      <c r="UJ32" s="179"/>
      <c r="UK32" s="179"/>
      <c r="UL32" s="179"/>
      <c r="UM32" s="179"/>
      <c r="UN32" s="179"/>
      <c r="UO32" s="179"/>
      <c r="UP32" s="179"/>
      <c r="UQ32" s="179"/>
      <c r="UR32" s="179"/>
      <c r="US32" s="179"/>
      <c r="UT32" s="179"/>
      <c r="UU32" s="179"/>
      <c r="UV32" s="179"/>
      <c r="UW32" s="179"/>
      <c r="UX32" s="179"/>
      <c r="UY32" s="179"/>
      <c r="UZ32" s="179"/>
      <c r="VA32" s="179"/>
      <c r="VB32" s="179"/>
      <c r="VC32" s="179"/>
      <c r="VD32" s="179"/>
      <c r="VE32" s="179"/>
      <c r="VF32" s="179"/>
      <c r="VG32" s="179"/>
      <c r="VH32" s="179"/>
      <c r="VI32" s="179"/>
      <c r="VJ32" s="179"/>
      <c r="VK32" s="179"/>
      <c r="VL32" s="179"/>
      <c r="VM32" s="179"/>
      <c r="VN32" s="179"/>
      <c r="VO32" s="179"/>
      <c r="VP32" s="179"/>
      <c r="VQ32" s="179"/>
      <c r="VR32" s="179"/>
      <c r="VS32" s="179"/>
      <c r="VT32" s="179"/>
      <c r="VU32" s="179"/>
      <c r="VV32" s="179"/>
      <c r="VW32" s="179"/>
      <c r="VX32" s="179"/>
      <c r="VY32" s="179"/>
      <c r="VZ32" s="179"/>
      <c r="WA32" s="179"/>
      <c r="WB32" s="179"/>
      <c r="WC32" s="179"/>
      <c r="WD32" s="179"/>
      <c r="WE32" s="179"/>
      <c r="WF32" s="179"/>
      <c r="WG32" s="179"/>
      <c r="WH32" s="179"/>
      <c r="WI32" s="179"/>
      <c r="WJ32" s="179"/>
      <c r="WK32" s="179"/>
      <c r="WL32" s="179"/>
      <c r="WM32" s="179"/>
      <c r="WN32" s="179"/>
      <c r="WO32" s="179"/>
      <c r="WP32" s="179"/>
      <c r="WQ32" s="179"/>
      <c r="WR32" s="179"/>
      <c r="WS32" s="179"/>
      <c r="WT32" s="179"/>
      <c r="WU32" s="179"/>
      <c r="WV32" s="179"/>
      <c r="WW32" s="179"/>
      <c r="WX32" s="179"/>
      <c r="WY32" s="179"/>
      <c r="WZ32" s="179"/>
      <c r="XA32" s="179"/>
      <c r="XB32" s="179"/>
      <c r="XC32" s="179"/>
      <c r="XD32" s="179"/>
      <c r="XE32" s="179"/>
      <c r="XF32" s="179"/>
      <c r="XG32" s="179"/>
      <c r="XH32" s="179"/>
      <c r="XI32" s="179"/>
      <c r="XJ32" s="179"/>
      <c r="XK32" s="179"/>
      <c r="XL32" s="179"/>
      <c r="XM32" s="179"/>
      <c r="XN32" s="179"/>
      <c r="XO32" s="179"/>
      <c r="XP32" s="179"/>
      <c r="XQ32" s="179"/>
      <c r="XR32" s="179"/>
      <c r="XS32" s="179"/>
      <c r="XT32" s="179"/>
      <c r="XU32" s="179"/>
      <c r="XV32" s="179"/>
      <c r="XW32" s="179"/>
      <c r="XX32" s="179"/>
      <c r="XY32" s="179"/>
      <c r="XZ32" s="179"/>
      <c r="YA32" s="179"/>
      <c r="YB32" s="179"/>
      <c r="YC32" s="179"/>
      <c r="YD32" s="179"/>
      <c r="YE32" s="179"/>
      <c r="YF32" s="179"/>
      <c r="YG32" s="179"/>
      <c r="YH32" s="179"/>
      <c r="YI32" s="179"/>
      <c r="YJ32" s="179"/>
      <c r="YK32" s="179"/>
      <c r="YL32" s="179"/>
      <c r="YM32" s="179"/>
      <c r="YN32" s="179"/>
      <c r="YO32" s="179"/>
      <c r="YP32" s="179"/>
      <c r="YQ32" s="179"/>
      <c r="YR32" s="179"/>
      <c r="YS32" s="179"/>
      <c r="YT32" s="179"/>
      <c r="YU32" s="179"/>
      <c r="YV32" s="179"/>
      <c r="YW32" s="179"/>
      <c r="YX32" s="179"/>
      <c r="YY32" s="179"/>
      <c r="YZ32" s="179"/>
      <c r="ZA32" s="179"/>
      <c r="ZB32" s="179"/>
      <c r="ZC32" s="179"/>
      <c r="ZD32" s="179"/>
      <c r="ZE32" s="179"/>
      <c r="ZF32" s="179"/>
      <c r="ZG32" s="179"/>
      <c r="ZH32" s="179"/>
      <c r="ZI32" s="179"/>
      <c r="ZJ32" s="179"/>
      <c r="ZK32" s="179"/>
      <c r="ZL32" s="179"/>
      <c r="ZM32" s="179"/>
      <c r="ZN32" s="179"/>
      <c r="ZO32" s="179"/>
      <c r="ZP32" s="179"/>
      <c r="ZQ32" s="179"/>
      <c r="ZR32" s="179"/>
      <c r="ZS32" s="179"/>
      <c r="ZT32" s="179"/>
      <c r="ZU32" s="179"/>
      <c r="ZV32" s="179"/>
      <c r="ZW32" s="179"/>
      <c r="ZX32" s="179"/>
      <c r="ZY32" s="179"/>
      <c r="ZZ32" s="179"/>
      <c r="AAA32" s="179"/>
      <c r="AAB32" s="179"/>
      <c r="AAC32" s="179"/>
      <c r="AAD32" s="179"/>
      <c r="AAE32" s="179"/>
      <c r="AAF32" s="179"/>
      <c r="AAG32" s="179"/>
      <c r="AAH32" s="179"/>
      <c r="AAI32" s="179"/>
      <c r="AAJ32" s="179"/>
      <c r="AAK32" s="179"/>
      <c r="AAL32" s="179"/>
      <c r="AAM32" s="179"/>
      <c r="AAN32" s="179"/>
      <c r="AAO32" s="179"/>
      <c r="AAP32" s="179"/>
      <c r="AAQ32" s="179"/>
      <c r="AAR32" s="179"/>
      <c r="AAS32" s="179"/>
      <c r="AAT32" s="179"/>
      <c r="AAU32" s="179"/>
      <c r="AAV32" s="179"/>
      <c r="AAW32" s="179"/>
      <c r="AAX32" s="179"/>
      <c r="AAY32" s="179"/>
      <c r="AAZ32" s="179"/>
      <c r="ABA32" s="179"/>
      <c r="ABB32" s="179"/>
      <c r="ABC32" s="179"/>
      <c r="ABD32" s="179"/>
      <c r="ABE32" s="179"/>
      <c r="ABF32" s="179"/>
      <c r="ABG32" s="179"/>
      <c r="ABH32" s="179"/>
      <c r="ABI32" s="179"/>
      <c r="ABJ32" s="179"/>
      <c r="ABK32" s="179"/>
      <c r="ABL32" s="179"/>
      <c r="ABM32" s="179"/>
      <c r="ABN32" s="179"/>
      <c r="ABO32" s="179"/>
      <c r="ABP32" s="179"/>
      <c r="ABQ32" s="179"/>
      <c r="ABR32" s="179"/>
      <c r="ABS32" s="179"/>
      <c r="ABT32" s="179"/>
      <c r="ABU32" s="179"/>
      <c r="ABV32" s="179"/>
      <c r="ABW32" s="179"/>
      <c r="ABX32" s="179"/>
      <c r="ABY32" s="179"/>
      <c r="ABZ32" s="179"/>
      <c r="ACA32" s="179"/>
      <c r="ACB32" s="179"/>
      <c r="ACC32" s="179"/>
      <c r="ACD32" s="179"/>
      <c r="ACE32" s="179"/>
      <c r="ACF32" s="179"/>
      <c r="ACG32" s="179"/>
      <c r="ACH32" s="179"/>
      <c r="ACI32" s="179"/>
      <c r="ACJ32" s="179"/>
      <c r="ACK32" s="179"/>
      <c r="ACL32" s="179"/>
      <c r="ACM32" s="179"/>
      <c r="ACN32" s="179"/>
      <c r="ACO32" s="179"/>
      <c r="ACP32" s="179"/>
      <c r="ACQ32" s="179"/>
      <c r="ACR32" s="179"/>
      <c r="ACS32" s="179"/>
      <c r="ACT32" s="179"/>
      <c r="ACU32" s="179"/>
      <c r="ACV32" s="179"/>
      <c r="ACW32" s="179"/>
      <c r="ACX32" s="179"/>
      <c r="ACY32" s="179"/>
      <c r="ACZ32" s="179"/>
      <c r="ADA32" s="179"/>
      <c r="ADB32" s="179"/>
      <c r="ADC32" s="179"/>
      <c r="ADD32" s="179"/>
      <c r="ADE32" s="179"/>
      <c r="ADF32" s="179"/>
      <c r="ADG32" s="179"/>
      <c r="ADH32" s="179"/>
      <c r="ADI32" s="179"/>
      <c r="ADJ32" s="179"/>
      <c r="ADK32" s="179"/>
      <c r="ADL32" s="179"/>
      <c r="ADM32" s="179"/>
      <c r="ADN32" s="179"/>
      <c r="ADO32" s="179"/>
      <c r="ADP32" s="179"/>
      <c r="ADQ32" s="179"/>
      <c r="ADR32" s="179"/>
      <c r="ADS32" s="179"/>
      <c r="ADT32" s="179"/>
      <c r="ADU32" s="179"/>
      <c r="ADV32" s="179"/>
      <c r="ADW32" s="179"/>
      <c r="ADX32" s="179"/>
      <c r="ADY32" s="179"/>
      <c r="ADZ32" s="179"/>
      <c r="AEA32" s="179"/>
      <c r="AEB32" s="179"/>
      <c r="AEC32" s="179"/>
      <c r="AED32" s="179"/>
      <c r="AEE32" s="179"/>
      <c r="AEF32" s="179"/>
      <c r="AEG32" s="179"/>
      <c r="AEH32" s="179"/>
      <c r="AEI32" s="179"/>
      <c r="AEJ32" s="179"/>
      <c r="AEK32" s="179"/>
      <c r="AEL32" s="179"/>
      <c r="AEM32" s="179"/>
      <c r="AEN32" s="179"/>
      <c r="AEO32" s="179"/>
      <c r="AEP32" s="179"/>
      <c r="AEQ32" s="179"/>
      <c r="AER32" s="179"/>
      <c r="AES32" s="179"/>
      <c r="AET32" s="179"/>
      <c r="AEU32" s="179"/>
      <c r="AEV32" s="179"/>
      <c r="AEW32" s="179"/>
      <c r="AEX32" s="179"/>
      <c r="AEY32" s="179"/>
      <c r="AEZ32" s="179"/>
      <c r="AFA32" s="179"/>
      <c r="AFB32" s="179"/>
      <c r="AFC32" s="179"/>
      <c r="AFD32" s="179"/>
      <c r="AFE32" s="179"/>
      <c r="AFF32" s="179"/>
      <c r="AFG32" s="179"/>
      <c r="AFH32" s="179"/>
      <c r="AFI32" s="179"/>
      <c r="AFJ32" s="179"/>
      <c r="AFK32" s="179"/>
      <c r="AFL32" s="179"/>
      <c r="AFM32" s="179"/>
      <c r="AFN32" s="179"/>
      <c r="AFO32" s="179"/>
      <c r="AFP32" s="179"/>
      <c r="AFQ32" s="179"/>
      <c r="AFR32" s="179"/>
      <c r="AFS32" s="179"/>
      <c r="AFT32" s="179"/>
      <c r="AFU32" s="179"/>
      <c r="AFV32" s="179"/>
      <c r="AFW32" s="179"/>
      <c r="AFX32" s="179"/>
      <c r="AFY32" s="179"/>
      <c r="AFZ32" s="179"/>
      <c r="AGA32" s="179"/>
      <c r="AGB32" s="179"/>
      <c r="AGC32" s="179"/>
      <c r="AGD32" s="179"/>
      <c r="AGE32" s="179"/>
      <c r="AGF32" s="179"/>
      <c r="AGG32" s="179"/>
      <c r="AGH32" s="179"/>
      <c r="AGI32" s="179"/>
      <c r="AGJ32" s="179"/>
      <c r="AGK32" s="179"/>
      <c r="AGL32" s="179"/>
      <c r="AGM32" s="179"/>
      <c r="AGN32" s="179"/>
      <c r="AGO32" s="179"/>
      <c r="AGP32" s="179"/>
      <c r="AGQ32" s="179"/>
      <c r="AGR32" s="179"/>
      <c r="AGS32" s="179"/>
      <c r="AGT32" s="179"/>
      <c r="AGU32" s="179"/>
      <c r="AGV32" s="179"/>
      <c r="AGW32" s="179"/>
      <c r="AGX32" s="179"/>
      <c r="AGY32" s="179"/>
      <c r="AGZ32" s="179"/>
      <c r="AHA32" s="179"/>
      <c r="AHB32" s="179"/>
      <c r="AHC32" s="179"/>
      <c r="AHD32" s="179"/>
      <c r="AHE32" s="179"/>
      <c r="AHF32" s="179"/>
      <c r="AHG32" s="179"/>
      <c r="AHH32" s="179"/>
      <c r="AHI32" s="179"/>
      <c r="AHJ32" s="179"/>
      <c r="AHK32" s="179"/>
      <c r="AHL32" s="179"/>
      <c r="AHM32" s="179"/>
      <c r="AHN32" s="179"/>
      <c r="AHO32" s="179"/>
      <c r="AHP32" s="179"/>
      <c r="AHQ32" s="179"/>
      <c r="AHR32" s="179"/>
      <c r="AHS32" s="179"/>
      <c r="AHT32" s="179"/>
      <c r="AHU32" s="179"/>
      <c r="AHV32" s="179"/>
      <c r="AHW32" s="179"/>
      <c r="AHX32" s="179"/>
      <c r="AHY32" s="179"/>
      <c r="AHZ32" s="179"/>
      <c r="AIA32" s="179"/>
      <c r="AIB32" s="179"/>
      <c r="AIC32" s="179"/>
      <c r="AID32" s="179"/>
      <c r="AIE32" s="179"/>
      <c r="AIF32" s="179"/>
      <c r="AIG32" s="179"/>
      <c r="AIH32" s="179"/>
      <c r="AII32" s="179"/>
      <c r="AIJ32" s="179"/>
      <c r="AIK32" s="179"/>
      <c r="AIL32" s="179"/>
      <c r="AIM32" s="179"/>
      <c r="AIN32" s="179"/>
      <c r="AIO32" s="179"/>
      <c r="AIP32" s="179"/>
      <c r="AIQ32" s="179"/>
      <c r="AIR32" s="179"/>
      <c r="AIS32" s="179"/>
      <c r="AIT32" s="179"/>
      <c r="AIU32" s="179"/>
      <c r="AIV32" s="179"/>
      <c r="AIW32" s="179"/>
      <c r="AIX32" s="179"/>
      <c r="AIY32" s="179"/>
      <c r="AIZ32" s="179"/>
      <c r="AJA32" s="179"/>
      <c r="AJB32" s="179"/>
      <c r="AJC32" s="179"/>
      <c r="AJD32" s="179"/>
      <c r="AJE32" s="179"/>
      <c r="AJF32" s="179"/>
      <c r="AJG32" s="179"/>
      <c r="AJH32" s="179"/>
      <c r="AJI32" s="179"/>
      <c r="AJJ32" s="179"/>
      <c r="AJK32" s="179"/>
      <c r="AJL32" s="179"/>
      <c r="AJM32" s="179"/>
      <c r="AJN32" s="179"/>
      <c r="AJO32" s="179"/>
      <c r="AJP32" s="179"/>
      <c r="AJQ32" s="179"/>
      <c r="AJR32" s="179"/>
      <c r="AJS32" s="179"/>
      <c r="AJT32" s="179"/>
      <c r="AJU32" s="179"/>
      <c r="AJV32" s="179"/>
      <c r="AJW32" s="179"/>
      <c r="AJX32" s="179"/>
      <c r="AJY32" s="179"/>
      <c r="AJZ32" s="179"/>
      <c r="AKA32" s="179"/>
      <c r="AKB32" s="179"/>
      <c r="AKC32" s="179"/>
      <c r="AKD32" s="179"/>
      <c r="AKE32" s="179"/>
      <c r="AKF32" s="179"/>
      <c r="AKG32" s="179"/>
      <c r="AKH32" s="179"/>
      <c r="AKI32" s="179"/>
      <c r="AKJ32" s="179"/>
      <c r="AKK32" s="179"/>
      <c r="AKL32" s="179"/>
      <c r="AKM32" s="179"/>
      <c r="AKN32" s="179"/>
      <c r="AKO32" s="179"/>
      <c r="AKP32" s="179"/>
      <c r="AKQ32" s="179"/>
      <c r="AKR32" s="179"/>
      <c r="AKS32" s="179"/>
      <c r="AKT32" s="179"/>
      <c r="AKU32" s="179"/>
      <c r="AKV32" s="179"/>
      <c r="AKW32" s="179"/>
      <c r="AKX32" s="179"/>
      <c r="AKY32" s="179"/>
      <c r="AKZ32" s="179"/>
      <c r="ALA32" s="179"/>
      <c r="ALB32" s="179"/>
      <c r="ALC32" s="179"/>
      <c r="ALD32" s="179"/>
      <c r="ALE32" s="179"/>
      <c r="ALF32" s="179"/>
      <c r="ALG32" s="179"/>
      <c r="ALH32" s="179"/>
      <c r="ALI32" s="179"/>
      <c r="ALJ32" s="179"/>
      <c r="ALK32" s="179"/>
      <c r="ALL32" s="179"/>
      <c r="ALM32" s="179"/>
      <c r="ALN32" s="179"/>
      <c r="ALO32" s="179"/>
      <c r="ALP32" s="179"/>
      <c r="ALQ32" s="179"/>
      <c r="ALR32" s="179"/>
      <c r="ALS32" s="179"/>
      <c r="ALT32" s="179"/>
      <c r="ALU32" s="179"/>
      <c r="ALV32" s="179"/>
      <c r="ALW32" s="179"/>
      <c r="ALX32" s="179"/>
      <c r="ALY32" s="179"/>
      <c r="ALZ32" s="179"/>
      <c r="AMA32" s="179"/>
      <c r="AMB32" s="179"/>
      <c r="AMC32" s="179"/>
      <c r="AMD32" s="179"/>
      <c r="AME32" s="179"/>
      <c r="AMF32" s="179"/>
      <c r="AMG32" s="179"/>
      <c r="AMH32" s="179"/>
      <c r="AMI32" s="179"/>
      <c r="AMJ32" s="179"/>
      <c r="AMK32" s="179"/>
      <c r="AML32" s="179"/>
      <c r="AMM32" s="179"/>
      <c r="AMN32" s="179"/>
      <c r="AMO32" s="179"/>
      <c r="AMP32" s="179"/>
      <c r="AMQ32" s="179"/>
      <c r="AMR32" s="179"/>
      <c r="AMS32" s="179"/>
      <c r="AMT32" s="179"/>
      <c r="AMU32" s="179"/>
      <c r="AMV32" s="179"/>
      <c r="AMW32" s="179"/>
      <c r="AMX32" s="179"/>
      <c r="AMY32" s="179"/>
      <c r="AMZ32" s="179"/>
      <c r="ANA32" s="179"/>
      <c r="ANB32" s="179"/>
      <c r="ANC32" s="179"/>
      <c r="AND32" s="179"/>
      <c r="ANE32" s="179"/>
      <c r="ANF32" s="179"/>
      <c r="ANG32" s="179"/>
      <c r="ANH32" s="179"/>
      <c r="ANI32" s="179"/>
      <c r="ANJ32" s="179"/>
      <c r="ANK32" s="179"/>
      <c r="ANL32" s="179"/>
      <c r="ANM32" s="179"/>
      <c r="ANN32" s="179"/>
      <c r="ANO32" s="179"/>
      <c r="ANP32" s="179"/>
      <c r="ANQ32" s="179"/>
      <c r="ANR32" s="179"/>
      <c r="ANS32" s="179"/>
      <c r="ANT32" s="179"/>
      <c r="ANU32" s="179"/>
      <c r="ANV32" s="179"/>
      <c r="ANW32" s="179"/>
      <c r="ANX32" s="179"/>
      <c r="ANY32" s="179"/>
      <c r="ANZ32" s="179"/>
      <c r="AOA32" s="179"/>
      <c r="AOB32" s="179"/>
      <c r="AOC32" s="179"/>
      <c r="AOD32" s="179"/>
      <c r="AOE32" s="179"/>
      <c r="AOF32" s="179"/>
      <c r="AOG32" s="179"/>
      <c r="AOH32" s="179"/>
      <c r="AOI32" s="179"/>
      <c r="AOJ32" s="179"/>
      <c r="AOK32" s="179"/>
      <c r="AOL32" s="179"/>
      <c r="AOM32" s="179"/>
      <c r="AON32" s="179"/>
      <c r="AOO32" s="179"/>
      <c r="AOP32" s="179"/>
      <c r="AOQ32" s="179"/>
      <c r="AOR32" s="179"/>
      <c r="AOS32" s="179"/>
      <c r="AOT32" s="179"/>
      <c r="AOU32" s="179"/>
      <c r="AOV32" s="179"/>
      <c r="AOW32" s="179"/>
      <c r="AOX32" s="179"/>
      <c r="AOY32" s="179"/>
      <c r="AOZ32" s="179"/>
      <c r="APA32" s="179"/>
      <c r="APB32" s="179"/>
      <c r="APC32" s="179"/>
      <c r="APD32" s="179"/>
      <c r="APE32" s="179"/>
      <c r="APF32" s="179"/>
      <c r="APG32" s="179"/>
      <c r="APH32" s="179"/>
      <c r="API32" s="179"/>
      <c r="APJ32" s="179"/>
      <c r="APK32" s="179"/>
      <c r="APL32" s="179"/>
      <c r="APM32" s="179"/>
      <c r="APN32" s="179"/>
      <c r="APO32" s="179"/>
      <c r="APP32" s="179"/>
      <c r="APQ32" s="179"/>
      <c r="APR32" s="179"/>
      <c r="APS32" s="179"/>
      <c r="APT32" s="179"/>
      <c r="APU32" s="179"/>
      <c r="APV32" s="179"/>
      <c r="APW32" s="179"/>
      <c r="APX32" s="179"/>
      <c r="APY32" s="179"/>
      <c r="APZ32" s="179"/>
      <c r="AQA32" s="179"/>
      <c r="AQB32" s="179"/>
      <c r="AQC32" s="179"/>
      <c r="AQD32" s="179"/>
      <c r="AQE32" s="179"/>
      <c r="AQF32" s="179"/>
      <c r="AQG32" s="179"/>
      <c r="AQH32" s="179"/>
      <c r="AQI32" s="179"/>
      <c r="AQJ32" s="179"/>
      <c r="AQK32" s="179"/>
      <c r="AQL32" s="179"/>
      <c r="AQM32" s="179"/>
      <c r="AQN32" s="179"/>
      <c r="AQO32" s="179"/>
      <c r="AQP32" s="179"/>
      <c r="AQQ32" s="179"/>
      <c r="AQR32" s="179"/>
      <c r="AQS32" s="179"/>
      <c r="AQT32" s="179"/>
      <c r="AQU32" s="179"/>
      <c r="AQV32" s="179"/>
      <c r="AQW32" s="179"/>
      <c r="AQX32" s="179"/>
      <c r="AQY32" s="179"/>
      <c r="AQZ32" s="179"/>
      <c r="ARA32" s="179"/>
      <c r="ARB32" s="179"/>
      <c r="ARC32" s="179"/>
      <c r="ARD32" s="179"/>
      <c r="ARE32" s="179"/>
      <c r="ARF32" s="179"/>
      <c r="ARG32" s="179"/>
      <c r="ARH32" s="179"/>
      <c r="ARI32" s="179"/>
      <c r="ARJ32" s="179"/>
      <c r="ARK32" s="179"/>
      <c r="ARL32" s="179"/>
      <c r="ARM32" s="179"/>
      <c r="ARN32" s="179"/>
      <c r="ARO32" s="179"/>
      <c r="ARP32" s="179"/>
      <c r="ARQ32" s="179"/>
      <c r="ARR32" s="179"/>
      <c r="ARS32" s="179"/>
      <c r="ART32" s="179"/>
      <c r="ARU32" s="179"/>
      <c r="ARV32" s="179"/>
      <c r="ARW32" s="179"/>
      <c r="ARX32" s="179"/>
      <c r="ARY32" s="179"/>
      <c r="ARZ32" s="179"/>
      <c r="ASA32" s="179"/>
      <c r="ASB32" s="179"/>
      <c r="ASC32" s="179"/>
      <c r="ASD32" s="179"/>
      <c r="ASE32" s="179"/>
      <c r="ASF32" s="179"/>
      <c r="ASG32" s="179"/>
      <c r="ASH32" s="179"/>
      <c r="ASI32" s="179"/>
      <c r="ASJ32" s="179"/>
      <c r="ASK32" s="179"/>
      <c r="ASL32" s="179"/>
      <c r="ASM32" s="179"/>
      <c r="ASN32" s="179"/>
      <c r="ASO32" s="179"/>
      <c r="ASP32" s="179"/>
      <c r="ASQ32" s="179"/>
      <c r="ASR32" s="179"/>
      <c r="ASS32" s="179"/>
      <c r="AST32" s="179"/>
      <c r="ASU32" s="179"/>
      <c r="ASV32" s="179"/>
      <c r="ASW32" s="179"/>
      <c r="ASX32" s="179"/>
      <c r="ASY32" s="179"/>
      <c r="ASZ32" s="179"/>
      <c r="ATA32" s="179"/>
      <c r="ATB32" s="179"/>
      <c r="ATC32" s="179"/>
      <c r="ATD32" s="179"/>
      <c r="ATE32" s="179"/>
      <c r="ATF32" s="179"/>
      <c r="ATG32" s="179"/>
      <c r="ATH32" s="179"/>
      <c r="ATI32" s="179"/>
      <c r="ATJ32" s="179"/>
      <c r="ATK32" s="179"/>
      <c r="ATL32" s="179"/>
      <c r="ATM32" s="179"/>
      <c r="ATN32" s="179"/>
      <c r="ATO32" s="179"/>
      <c r="ATP32" s="179"/>
      <c r="ATQ32" s="179"/>
      <c r="ATR32" s="179"/>
      <c r="ATS32" s="179"/>
      <c r="ATT32" s="179"/>
      <c r="ATU32" s="179"/>
      <c r="ATV32" s="179"/>
      <c r="ATW32" s="179"/>
      <c r="ATX32" s="179"/>
      <c r="ATY32" s="179"/>
      <c r="ATZ32" s="179"/>
      <c r="AUA32" s="179"/>
      <c r="AUB32" s="179"/>
      <c r="AUC32" s="179"/>
      <c r="AUD32" s="179"/>
      <c r="AUE32" s="179"/>
      <c r="AUF32" s="179"/>
      <c r="AUG32" s="179"/>
      <c r="AUH32" s="179"/>
      <c r="AUI32" s="179"/>
      <c r="AUJ32" s="179"/>
      <c r="AUK32" s="179"/>
      <c r="AUL32" s="179"/>
      <c r="AUM32" s="179"/>
      <c r="AUN32" s="179"/>
      <c r="AUO32" s="179"/>
      <c r="AUP32" s="179"/>
      <c r="AUQ32" s="179"/>
      <c r="AUR32" s="179"/>
      <c r="AUS32" s="179"/>
      <c r="AUT32" s="179"/>
      <c r="AUU32" s="179"/>
      <c r="AUV32" s="179"/>
      <c r="AUW32" s="179"/>
      <c r="AUX32" s="179"/>
      <c r="AUY32" s="179"/>
      <c r="AUZ32" s="179"/>
      <c r="AVA32" s="179"/>
      <c r="AVB32" s="179"/>
      <c r="AVC32" s="179"/>
      <c r="AVD32" s="179"/>
      <c r="AVE32" s="179"/>
      <c r="AVF32" s="179"/>
      <c r="AVG32" s="179"/>
      <c r="AVH32" s="179"/>
      <c r="AVI32" s="179"/>
      <c r="AVJ32" s="179"/>
      <c r="AVK32" s="179"/>
      <c r="AVL32" s="179"/>
      <c r="AVM32" s="179"/>
      <c r="AVN32" s="179"/>
      <c r="AVO32" s="179"/>
      <c r="AVP32" s="179"/>
      <c r="AVQ32" s="179"/>
      <c r="AVR32" s="179"/>
      <c r="AVS32" s="179"/>
      <c r="AVT32" s="179"/>
      <c r="AVU32" s="179"/>
      <c r="AVV32" s="179"/>
      <c r="AVW32" s="179"/>
      <c r="AVX32" s="179"/>
      <c r="AVY32" s="179"/>
      <c r="AVZ32" s="179"/>
      <c r="AWA32" s="179"/>
      <c r="AWB32" s="179"/>
      <c r="AWC32" s="179"/>
      <c r="AWD32" s="179"/>
      <c r="AWE32" s="179"/>
      <c r="AWF32" s="179"/>
      <c r="AWG32" s="179"/>
      <c r="AWH32" s="179"/>
      <c r="AWI32" s="179"/>
      <c r="AWJ32" s="179"/>
      <c r="AWK32" s="179"/>
      <c r="AWL32" s="179"/>
      <c r="AWM32" s="179"/>
      <c r="AWN32" s="179"/>
      <c r="AWO32" s="179"/>
      <c r="AWP32" s="179"/>
      <c r="AWQ32" s="179"/>
      <c r="AWR32" s="179"/>
      <c r="AWS32" s="179"/>
      <c r="AWT32" s="179"/>
      <c r="AWU32" s="179"/>
      <c r="AWV32" s="179"/>
      <c r="AWW32" s="179"/>
      <c r="AWX32" s="179"/>
      <c r="AWY32" s="179"/>
      <c r="AWZ32" s="179"/>
      <c r="AXA32" s="179"/>
      <c r="AXB32" s="179"/>
      <c r="AXC32" s="179"/>
      <c r="AXD32" s="179"/>
      <c r="AXE32" s="179"/>
      <c r="AXF32" s="179"/>
      <c r="AXG32" s="179"/>
      <c r="AXH32" s="179"/>
      <c r="AXI32" s="179"/>
      <c r="AXJ32" s="179"/>
      <c r="AXK32" s="179"/>
      <c r="AXL32" s="179"/>
      <c r="AXM32" s="179"/>
      <c r="AXN32" s="179"/>
      <c r="AXO32" s="179"/>
      <c r="AXP32" s="179"/>
      <c r="AXQ32" s="179"/>
      <c r="AXR32" s="179"/>
      <c r="AXS32" s="179"/>
      <c r="AXT32" s="179"/>
      <c r="AXU32" s="179"/>
      <c r="AXV32" s="179"/>
      <c r="AXW32" s="179"/>
      <c r="AXX32" s="179"/>
      <c r="AXY32" s="179"/>
      <c r="AXZ32" s="179"/>
      <c r="AYA32" s="179"/>
      <c r="AYB32" s="179"/>
      <c r="AYC32" s="179"/>
      <c r="AYD32" s="179"/>
      <c r="AYE32" s="179"/>
      <c r="AYF32" s="179"/>
      <c r="AYG32" s="179"/>
      <c r="AYH32" s="179"/>
      <c r="AYI32" s="179"/>
      <c r="AYJ32" s="179"/>
      <c r="AYK32" s="179"/>
      <c r="AYL32" s="179"/>
      <c r="AYM32" s="179"/>
      <c r="AYN32" s="179"/>
      <c r="AYO32" s="179"/>
      <c r="AYP32" s="179"/>
      <c r="AYQ32" s="179"/>
      <c r="AYR32" s="179"/>
      <c r="AYS32" s="179"/>
      <c r="AYT32" s="179"/>
      <c r="AYU32" s="179"/>
      <c r="AYV32" s="179"/>
      <c r="AYW32" s="179"/>
      <c r="AYX32" s="179"/>
      <c r="AYY32" s="179"/>
      <c r="AYZ32" s="179"/>
      <c r="AZA32" s="179"/>
      <c r="AZB32" s="179"/>
      <c r="AZC32" s="179"/>
      <c r="AZD32" s="179"/>
      <c r="AZE32" s="179"/>
      <c r="AZF32" s="179"/>
      <c r="AZG32" s="179"/>
      <c r="AZH32" s="179"/>
      <c r="AZI32" s="179"/>
      <c r="AZJ32" s="179"/>
      <c r="AZK32" s="179"/>
      <c r="AZL32" s="179"/>
      <c r="AZM32" s="179"/>
      <c r="AZN32" s="179"/>
      <c r="AZO32" s="179"/>
      <c r="AZP32" s="179"/>
      <c r="AZQ32" s="179"/>
      <c r="AZR32" s="179"/>
      <c r="AZS32" s="179"/>
      <c r="AZT32" s="179"/>
      <c r="AZU32" s="179"/>
      <c r="AZV32" s="179"/>
      <c r="AZW32" s="179"/>
      <c r="AZX32" s="179"/>
      <c r="AZY32" s="179"/>
      <c r="AZZ32" s="179"/>
      <c r="BAA32" s="179"/>
      <c r="BAB32" s="179"/>
      <c r="BAC32" s="179"/>
      <c r="BAD32" s="179"/>
      <c r="BAE32" s="179"/>
      <c r="BAF32" s="179"/>
      <c r="BAG32" s="179"/>
      <c r="BAH32" s="179"/>
      <c r="BAI32" s="179"/>
      <c r="BAJ32" s="179"/>
      <c r="BAK32" s="179"/>
      <c r="BAL32" s="179"/>
      <c r="BAM32" s="179"/>
      <c r="BAN32" s="179"/>
      <c r="BAO32" s="179"/>
      <c r="BAP32" s="179"/>
      <c r="BAQ32" s="179"/>
      <c r="BAR32" s="179"/>
      <c r="BAS32" s="179"/>
      <c r="BAT32" s="179"/>
      <c r="BAU32" s="179"/>
      <c r="BAV32" s="179"/>
      <c r="BAW32" s="179"/>
      <c r="BAX32" s="179"/>
      <c r="BAY32" s="179"/>
      <c r="BAZ32" s="179"/>
      <c r="BBA32" s="179"/>
      <c r="BBB32" s="179"/>
      <c r="BBC32" s="179"/>
      <c r="BBD32" s="179"/>
      <c r="BBE32" s="179"/>
      <c r="BBF32" s="179"/>
      <c r="BBG32" s="179"/>
      <c r="BBH32" s="179"/>
      <c r="BBI32" s="179"/>
      <c r="BBJ32" s="179"/>
      <c r="BBK32" s="179"/>
      <c r="BBL32" s="179"/>
      <c r="BBM32" s="179"/>
      <c r="BBN32" s="179"/>
      <c r="BBO32" s="179"/>
      <c r="BBP32" s="179"/>
      <c r="BBQ32" s="179"/>
      <c r="BBR32" s="179"/>
      <c r="BBS32" s="179"/>
      <c r="BBT32" s="179"/>
      <c r="BBU32" s="179"/>
      <c r="BBV32" s="179"/>
      <c r="BBW32" s="179"/>
      <c r="BBX32" s="179"/>
      <c r="BBY32" s="179"/>
      <c r="BBZ32" s="179"/>
      <c r="BCA32" s="179"/>
      <c r="BCB32" s="179"/>
      <c r="BCC32" s="179"/>
      <c r="BCD32" s="179"/>
      <c r="BCE32" s="179"/>
      <c r="BCF32" s="179"/>
      <c r="BCG32" s="179"/>
      <c r="BCH32" s="179"/>
      <c r="BCI32" s="179"/>
      <c r="BCJ32" s="179"/>
      <c r="BCK32" s="179"/>
      <c r="BCL32" s="179"/>
      <c r="BCM32" s="179"/>
      <c r="BCN32" s="179"/>
      <c r="BCO32" s="179"/>
      <c r="BCP32" s="179"/>
      <c r="BCQ32" s="179"/>
      <c r="BCR32" s="179"/>
      <c r="BCS32" s="179"/>
      <c r="BCT32" s="179"/>
      <c r="BCU32" s="179"/>
      <c r="BCV32" s="179"/>
      <c r="BCW32" s="179"/>
      <c r="BCX32" s="179"/>
      <c r="BCY32" s="179"/>
      <c r="BCZ32" s="179"/>
      <c r="BDA32" s="179"/>
      <c r="BDB32" s="179"/>
      <c r="BDC32" s="179"/>
      <c r="BDD32" s="179"/>
      <c r="BDE32" s="179"/>
      <c r="BDF32" s="179"/>
      <c r="BDG32" s="179"/>
      <c r="BDH32" s="179"/>
      <c r="BDI32" s="179"/>
      <c r="BDJ32" s="179"/>
      <c r="BDK32" s="179"/>
      <c r="BDL32" s="179"/>
      <c r="BDM32" s="179"/>
      <c r="BDN32" s="179"/>
      <c r="BDO32" s="179"/>
      <c r="BDP32" s="179"/>
      <c r="BDQ32" s="179"/>
      <c r="BDR32" s="179"/>
      <c r="BDS32" s="179"/>
      <c r="BDT32" s="179"/>
      <c r="BDU32" s="179"/>
      <c r="BDV32" s="179"/>
      <c r="BDW32" s="179"/>
      <c r="BDX32" s="179"/>
      <c r="BDY32" s="179"/>
      <c r="BDZ32" s="179"/>
      <c r="BEA32" s="179"/>
      <c r="BEB32" s="179"/>
      <c r="BEC32" s="179"/>
      <c r="BED32" s="179"/>
      <c r="BEE32" s="179"/>
      <c r="BEF32" s="179"/>
      <c r="BEG32" s="179"/>
      <c r="BEH32" s="179"/>
      <c r="BEI32" s="179"/>
      <c r="BEJ32" s="179"/>
      <c r="BEK32" s="179"/>
      <c r="BEL32" s="179"/>
      <c r="BEM32" s="179"/>
      <c r="BEN32" s="179"/>
      <c r="BEO32" s="179"/>
      <c r="BEP32" s="179"/>
      <c r="BEQ32" s="179"/>
      <c r="BER32" s="179"/>
      <c r="BES32" s="179"/>
      <c r="BET32" s="179"/>
      <c r="BEU32" s="179"/>
      <c r="BEV32" s="179"/>
      <c r="BEW32" s="179"/>
      <c r="BEX32" s="179"/>
      <c r="BEY32" s="179"/>
      <c r="BEZ32" s="179"/>
      <c r="BFA32" s="179"/>
      <c r="BFB32" s="179"/>
      <c r="BFC32" s="179"/>
      <c r="BFD32" s="179"/>
      <c r="BFE32" s="179"/>
      <c r="BFF32" s="179"/>
      <c r="BFG32" s="179"/>
      <c r="BFH32" s="179"/>
      <c r="BFI32" s="179"/>
      <c r="BFJ32" s="179"/>
      <c r="BFK32" s="179"/>
      <c r="BFL32" s="179"/>
      <c r="BFM32" s="179"/>
      <c r="BFN32" s="179"/>
      <c r="BFO32" s="179"/>
      <c r="BFP32" s="179"/>
      <c r="BFQ32" s="179"/>
      <c r="BFR32" s="179"/>
      <c r="BFS32" s="179"/>
      <c r="BFT32" s="179"/>
      <c r="BFU32" s="179"/>
      <c r="BFV32" s="179"/>
      <c r="BFW32" s="179"/>
      <c r="BFX32" s="179"/>
      <c r="BFY32" s="179"/>
      <c r="BFZ32" s="179"/>
      <c r="BGA32" s="179"/>
      <c r="BGB32" s="179"/>
      <c r="BGC32" s="179"/>
      <c r="BGD32" s="179"/>
      <c r="BGE32" s="179"/>
      <c r="BGF32" s="179"/>
      <c r="BGG32" s="179"/>
      <c r="BGH32" s="179"/>
      <c r="BGI32" s="179"/>
      <c r="BGJ32" s="179"/>
      <c r="BGK32" s="179"/>
      <c r="BGL32" s="179"/>
      <c r="BGM32" s="179"/>
      <c r="BGN32" s="179"/>
      <c r="BGO32" s="179"/>
      <c r="BGP32" s="179"/>
      <c r="BGQ32" s="179"/>
      <c r="BGR32" s="179"/>
      <c r="BGS32" s="179"/>
      <c r="BGT32" s="179"/>
      <c r="BGU32" s="179"/>
      <c r="BGV32" s="179"/>
      <c r="BGW32" s="179"/>
      <c r="BGX32" s="179"/>
      <c r="BGY32" s="179"/>
      <c r="BGZ32" s="179"/>
      <c r="BHA32" s="179"/>
      <c r="BHB32" s="179"/>
      <c r="BHC32" s="179"/>
      <c r="BHD32" s="179"/>
      <c r="BHE32" s="179"/>
      <c r="BHF32" s="179"/>
      <c r="BHG32" s="179"/>
      <c r="BHH32" s="179"/>
      <c r="BHI32" s="179"/>
      <c r="BHJ32" s="179"/>
      <c r="BHK32" s="179"/>
      <c r="BHL32" s="179"/>
      <c r="BHM32" s="179"/>
      <c r="BHN32" s="179"/>
      <c r="BHO32" s="179"/>
      <c r="BHP32" s="179"/>
      <c r="BHQ32" s="179"/>
      <c r="BHR32" s="179"/>
      <c r="BHS32" s="179"/>
      <c r="BHT32" s="179"/>
      <c r="BHU32" s="179"/>
      <c r="BHV32" s="179"/>
      <c r="BHW32" s="179"/>
      <c r="BHX32" s="179"/>
      <c r="BHY32" s="179"/>
      <c r="BHZ32" s="179"/>
      <c r="BIA32" s="179"/>
      <c r="BIB32" s="179"/>
      <c r="BIC32" s="179"/>
      <c r="BID32" s="179"/>
      <c r="BIE32" s="179"/>
      <c r="BIF32" s="179"/>
      <c r="BIG32" s="179"/>
      <c r="BIH32" s="179"/>
      <c r="BII32" s="179"/>
      <c r="BIJ32" s="179"/>
      <c r="BIK32" s="179"/>
      <c r="BIL32" s="179"/>
      <c r="BIM32" s="179"/>
      <c r="BIN32" s="179"/>
      <c r="BIO32" s="179"/>
      <c r="BIP32" s="179"/>
      <c r="BIQ32" s="179"/>
      <c r="BIR32" s="179"/>
      <c r="BIS32" s="179"/>
      <c r="BIT32" s="179"/>
      <c r="BIU32" s="179"/>
      <c r="BIV32" s="179"/>
      <c r="BIW32" s="179"/>
      <c r="BIX32" s="179"/>
      <c r="BIY32" s="179"/>
      <c r="BIZ32" s="179"/>
      <c r="BJA32" s="179"/>
      <c r="BJB32" s="179"/>
      <c r="BJC32" s="179"/>
      <c r="BJD32" s="179"/>
      <c r="BJE32" s="179"/>
      <c r="BJF32" s="179"/>
      <c r="BJG32" s="179"/>
      <c r="BJH32" s="179"/>
      <c r="BJI32" s="179"/>
      <c r="BJJ32" s="179"/>
      <c r="BJK32" s="179"/>
      <c r="BJL32" s="179"/>
      <c r="BJM32" s="179"/>
      <c r="BJN32" s="179"/>
      <c r="BJO32" s="179"/>
      <c r="BJP32" s="179"/>
      <c r="BJQ32" s="179"/>
      <c r="BJR32" s="179"/>
      <c r="BJS32" s="179"/>
      <c r="BJT32" s="179"/>
      <c r="BJU32" s="179"/>
      <c r="BJV32" s="179"/>
      <c r="BJW32" s="179"/>
      <c r="BJX32" s="179"/>
      <c r="BJY32" s="179"/>
      <c r="BJZ32" s="179"/>
      <c r="BKA32" s="179"/>
      <c r="BKB32" s="179"/>
      <c r="BKC32" s="179"/>
      <c r="BKD32" s="179"/>
      <c r="BKE32" s="179"/>
      <c r="BKF32" s="179"/>
      <c r="BKG32" s="179"/>
      <c r="BKH32" s="179"/>
      <c r="BKI32" s="179"/>
      <c r="BKJ32" s="179"/>
      <c r="BKK32" s="179"/>
      <c r="BKL32" s="179"/>
      <c r="BKM32" s="179"/>
      <c r="BKN32" s="179"/>
      <c r="BKO32" s="179"/>
      <c r="BKP32" s="179"/>
      <c r="BKQ32" s="179"/>
      <c r="BKR32" s="179"/>
      <c r="BKS32" s="179"/>
      <c r="BKT32" s="179"/>
      <c r="BKU32" s="179"/>
      <c r="BKV32" s="179"/>
      <c r="BKW32" s="179"/>
      <c r="BKX32" s="179"/>
      <c r="BKY32" s="179"/>
      <c r="BKZ32" s="179"/>
      <c r="BLA32" s="179"/>
      <c r="BLB32" s="179"/>
      <c r="BLC32" s="179"/>
      <c r="BLD32" s="179"/>
      <c r="BLE32" s="179"/>
      <c r="BLF32" s="179"/>
      <c r="BLG32" s="179"/>
      <c r="BLH32" s="179"/>
      <c r="BLI32" s="179"/>
      <c r="BLJ32" s="179"/>
      <c r="BLK32" s="179"/>
      <c r="BLL32" s="179"/>
      <c r="BLM32" s="179"/>
      <c r="BLN32" s="179"/>
      <c r="BLO32" s="179"/>
      <c r="BLP32" s="179"/>
      <c r="BLQ32" s="179"/>
      <c r="BLR32" s="179"/>
      <c r="BLS32" s="179"/>
      <c r="BLT32" s="179"/>
      <c r="BLU32" s="179"/>
      <c r="BLV32" s="179"/>
      <c r="BLW32" s="179"/>
      <c r="BLX32" s="179"/>
      <c r="BLY32" s="179"/>
      <c r="BLZ32" s="179"/>
      <c r="BMA32" s="179"/>
      <c r="BMB32" s="179"/>
      <c r="BMC32" s="179"/>
      <c r="BMD32" s="179"/>
      <c r="BME32" s="179"/>
      <c r="BMF32" s="179"/>
      <c r="BMG32" s="179"/>
      <c r="BMH32" s="179"/>
      <c r="BMI32" s="179"/>
      <c r="BMJ32" s="179"/>
      <c r="BMK32" s="179"/>
      <c r="BML32" s="179"/>
      <c r="BMM32" s="179"/>
      <c r="BMN32" s="179"/>
      <c r="BMO32" s="179"/>
      <c r="BMP32" s="179"/>
      <c r="BMQ32" s="179"/>
      <c r="BMR32" s="179"/>
      <c r="BMS32" s="179"/>
      <c r="BMT32" s="179"/>
      <c r="BMU32" s="179"/>
      <c r="BMV32" s="179"/>
      <c r="BMW32" s="179"/>
      <c r="BMX32" s="179"/>
      <c r="BMY32" s="179"/>
      <c r="BMZ32" s="179"/>
      <c r="BNA32" s="179"/>
      <c r="BNB32" s="179"/>
      <c r="BNC32" s="179"/>
      <c r="BND32" s="179"/>
      <c r="BNE32" s="179"/>
      <c r="BNF32" s="179"/>
      <c r="BNG32" s="179"/>
      <c r="BNH32" s="179"/>
      <c r="BNI32" s="179"/>
      <c r="BNJ32" s="179"/>
      <c r="BNK32" s="179"/>
      <c r="BNL32" s="179"/>
      <c r="BNM32" s="179"/>
      <c r="BNN32" s="179"/>
      <c r="BNO32" s="179"/>
      <c r="BNP32" s="179"/>
      <c r="BNQ32" s="179"/>
      <c r="BNR32" s="179"/>
      <c r="BNS32" s="179"/>
      <c r="BNT32" s="179"/>
      <c r="BNU32" s="179"/>
      <c r="BNV32" s="179"/>
      <c r="BNW32" s="179"/>
      <c r="BNX32" s="179"/>
      <c r="BNY32" s="179"/>
      <c r="BNZ32" s="179"/>
      <c r="BOA32" s="179"/>
      <c r="BOB32" s="179"/>
      <c r="BOC32" s="179"/>
      <c r="BOD32" s="179"/>
      <c r="BOE32" s="179"/>
      <c r="BOF32" s="179"/>
      <c r="BOG32" s="179"/>
      <c r="BOH32" s="179"/>
      <c r="BOI32" s="179"/>
      <c r="BOJ32" s="179"/>
      <c r="BOK32" s="179"/>
      <c r="BOL32" s="179"/>
      <c r="BOM32" s="179"/>
      <c r="BON32" s="179"/>
      <c r="BOO32" s="179"/>
      <c r="BOP32" s="179"/>
      <c r="BOQ32" s="179"/>
      <c r="BOR32" s="179"/>
      <c r="BOS32" s="179"/>
      <c r="BOT32" s="179"/>
      <c r="BOU32" s="179"/>
      <c r="BOV32" s="179"/>
      <c r="BOW32" s="179"/>
      <c r="BOX32" s="179"/>
      <c r="BOY32" s="179"/>
      <c r="BOZ32" s="179"/>
      <c r="BPA32" s="179"/>
      <c r="BPB32" s="179"/>
      <c r="BPC32" s="179"/>
      <c r="BPD32" s="179"/>
      <c r="BPE32" s="179"/>
      <c r="BPF32" s="179"/>
      <c r="BPG32" s="179"/>
      <c r="BPH32" s="179"/>
      <c r="BPI32" s="179"/>
      <c r="BPJ32" s="179"/>
      <c r="BPK32" s="179"/>
      <c r="BPL32" s="179"/>
      <c r="BPM32" s="179"/>
      <c r="BPN32" s="179"/>
      <c r="BPO32" s="179"/>
      <c r="BPP32" s="179"/>
      <c r="BPQ32" s="179"/>
      <c r="BPR32" s="179"/>
      <c r="BPS32" s="179"/>
      <c r="BPT32" s="179"/>
      <c r="BPU32" s="179"/>
      <c r="BPV32" s="179"/>
      <c r="BPW32" s="179"/>
      <c r="BPX32" s="179"/>
      <c r="BPY32" s="179"/>
      <c r="BPZ32" s="179"/>
      <c r="BQA32" s="179"/>
      <c r="BQB32" s="179"/>
      <c r="BQC32" s="179"/>
      <c r="BQD32" s="179"/>
      <c r="BQE32" s="179"/>
      <c r="BQF32" s="179"/>
      <c r="BQG32" s="179"/>
      <c r="BQH32" s="179"/>
      <c r="BQI32" s="179"/>
      <c r="BQJ32" s="179"/>
      <c r="BQK32" s="179"/>
      <c r="BQL32" s="179"/>
      <c r="BQM32" s="179"/>
      <c r="BQN32" s="179"/>
      <c r="BQO32" s="179"/>
      <c r="BQP32" s="179"/>
      <c r="BQQ32" s="179"/>
      <c r="BQR32" s="179"/>
      <c r="BQS32" s="179"/>
      <c r="BQT32" s="179"/>
      <c r="BQU32" s="179"/>
      <c r="BQV32" s="179"/>
      <c r="BQW32" s="179"/>
      <c r="BQX32" s="179"/>
      <c r="BQY32" s="179"/>
      <c r="BQZ32" s="179"/>
      <c r="BRA32" s="179"/>
      <c r="BRB32" s="179"/>
      <c r="BRC32" s="179"/>
      <c r="BRD32" s="179"/>
      <c r="BRE32" s="179"/>
      <c r="BRF32" s="179"/>
      <c r="BRG32" s="179"/>
      <c r="BRH32" s="179"/>
      <c r="BRI32" s="179"/>
      <c r="BRJ32" s="179"/>
      <c r="BRK32" s="179"/>
      <c r="BRL32" s="179"/>
      <c r="BRM32" s="179"/>
      <c r="BRN32" s="179"/>
      <c r="BRO32" s="179"/>
      <c r="BRP32" s="179"/>
      <c r="BRQ32" s="179"/>
      <c r="BRR32" s="179"/>
      <c r="BRS32" s="179"/>
      <c r="BRT32" s="179"/>
      <c r="BRU32" s="179"/>
      <c r="BRV32" s="179"/>
      <c r="BRW32" s="179"/>
      <c r="BRX32" s="179"/>
      <c r="BRY32" s="179"/>
      <c r="BRZ32" s="179"/>
      <c r="BSA32" s="179"/>
      <c r="BSB32" s="179"/>
      <c r="BSC32" s="179"/>
      <c r="BSD32" s="179"/>
      <c r="BSE32" s="179"/>
      <c r="BSF32" s="179"/>
      <c r="BSG32" s="179"/>
      <c r="BSH32" s="179"/>
      <c r="BSI32" s="179"/>
      <c r="BSJ32" s="179"/>
      <c r="BSK32" s="179"/>
      <c r="BSL32" s="179"/>
      <c r="BSM32" s="179"/>
      <c r="BSN32" s="179"/>
      <c r="BSO32" s="179"/>
      <c r="BSP32" s="179"/>
      <c r="BSQ32" s="179"/>
      <c r="BSR32" s="179"/>
      <c r="BSS32" s="179"/>
      <c r="BST32" s="179"/>
      <c r="BSU32" s="179"/>
      <c r="BSV32" s="179"/>
      <c r="BSW32" s="179"/>
      <c r="BSX32" s="179"/>
      <c r="BSY32" s="179"/>
      <c r="BSZ32" s="179"/>
      <c r="BTA32" s="179"/>
      <c r="BTB32" s="179"/>
      <c r="BTC32" s="179"/>
      <c r="BTD32" s="179"/>
      <c r="BTE32" s="179"/>
      <c r="BTF32" s="179"/>
      <c r="BTG32" s="179"/>
      <c r="BTH32" s="179"/>
      <c r="BTI32" s="179"/>
      <c r="BTJ32" s="179"/>
      <c r="BTK32" s="179"/>
      <c r="BTL32" s="179"/>
      <c r="BTM32" s="179"/>
      <c r="BTN32" s="179"/>
      <c r="BTO32" s="179"/>
      <c r="BTP32" s="179"/>
      <c r="BTQ32" s="179"/>
      <c r="BTR32" s="179"/>
      <c r="BTS32" s="179"/>
      <c r="BTT32" s="179"/>
      <c r="BTU32" s="179"/>
      <c r="BTV32" s="179"/>
      <c r="BTW32" s="179"/>
      <c r="BTX32" s="179"/>
      <c r="BTY32" s="179"/>
      <c r="BTZ32" s="179"/>
      <c r="BUA32" s="179"/>
      <c r="BUB32" s="179"/>
      <c r="BUC32" s="179"/>
      <c r="BUD32" s="179"/>
      <c r="BUE32" s="179"/>
      <c r="BUF32" s="179"/>
      <c r="BUG32" s="179"/>
      <c r="BUH32" s="179"/>
      <c r="BUI32" s="179"/>
      <c r="BUJ32" s="179"/>
      <c r="BUK32" s="179"/>
      <c r="BUL32" s="179"/>
      <c r="BUM32" s="179"/>
      <c r="BUN32" s="179"/>
      <c r="BUO32" s="179"/>
      <c r="BUP32" s="179"/>
      <c r="BUQ32" s="179"/>
      <c r="BUR32" s="179"/>
      <c r="BUS32" s="179"/>
      <c r="BUT32" s="179"/>
      <c r="BUU32" s="179"/>
      <c r="BUV32" s="179"/>
      <c r="BUW32" s="179"/>
      <c r="BUX32" s="179"/>
      <c r="BUY32" s="179"/>
      <c r="BUZ32" s="179"/>
      <c r="BVA32" s="179"/>
      <c r="BVB32" s="179"/>
      <c r="BVC32" s="179"/>
      <c r="BVD32" s="179"/>
      <c r="BVE32" s="179"/>
      <c r="BVF32" s="179"/>
      <c r="BVG32" s="179"/>
      <c r="BVH32" s="179"/>
      <c r="BVI32" s="179"/>
      <c r="BVJ32" s="179"/>
      <c r="BVK32" s="179"/>
      <c r="BVL32" s="179"/>
      <c r="BVM32" s="179"/>
      <c r="BVN32" s="179"/>
      <c r="BVO32" s="179"/>
      <c r="BVP32" s="179"/>
      <c r="BVQ32" s="179"/>
      <c r="BVR32" s="179"/>
      <c r="BVS32" s="179"/>
      <c r="BVT32" s="179"/>
      <c r="BVU32" s="179"/>
      <c r="BVV32" s="179"/>
      <c r="BVW32" s="179"/>
      <c r="BVX32" s="179"/>
      <c r="BVY32" s="179"/>
      <c r="BVZ32" s="179"/>
      <c r="BWA32" s="179"/>
      <c r="BWB32" s="179"/>
      <c r="BWC32" s="179"/>
      <c r="BWD32" s="179"/>
      <c r="BWE32" s="179"/>
      <c r="BWF32" s="179"/>
      <c r="BWG32" s="179"/>
      <c r="BWH32" s="179"/>
      <c r="BWI32" s="179"/>
      <c r="BWJ32" s="179"/>
      <c r="BWK32" s="179"/>
      <c r="BWL32" s="179"/>
      <c r="BWM32" s="179"/>
      <c r="BWN32" s="179"/>
      <c r="BWO32" s="179"/>
      <c r="BWP32" s="179"/>
      <c r="BWQ32" s="179"/>
      <c r="BWR32" s="179"/>
      <c r="BWS32" s="179"/>
      <c r="BWT32" s="179"/>
      <c r="BWU32" s="179"/>
      <c r="BWV32" s="179"/>
      <c r="BWW32" s="179"/>
      <c r="BWX32" s="179"/>
      <c r="BWY32" s="179"/>
      <c r="BWZ32" s="179"/>
      <c r="BXA32" s="179"/>
      <c r="BXB32" s="179"/>
      <c r="BXC32" s="179"/>
      <c r="BXD32" s="179"/>
      <c r="BXE32" s="179"/>
      <c r="BXF32" s="179"/>
      <c r="BXG32" s="179"/>
      <c r="BXH32" s="179"/>
      <c r="BXI32" s="179"/>
      <c r="BXJ32" s="179"/>
      <c r="BXK32" s="179"/>
      <c r="BXL32" s="179"/>
      <c r="BXM32" s="179"/>
      <c r="BXN32" s="179"/>
      <c r="BXO32" s="179"/>
      <c r="BXP32" s="179"/>
      <c r="BXQ32" s="179"/>
      <c r="BXR32" s="179"/>
      <c r="BXS32" s="179"/>
      <c r="BXT32" s="179"/>
      <c r="BXU32" s="179"/>
      <c r="BXV32" s="179"/>
      <c r="BXW32" s="179"/>
      <c r="BXX32" s="179"/>
      <c r="BXY32" s="179"/>
      <c r="BXZ32" s="179"/>
      <c r="BYA32" s="179"/>
      <c r="BYB32" s="179"/>
      <c r="BYC32" s="179"/>
      <c r="BYD32" s="179"/>
      <c r="BYE32" s="179"/>
      <c r="BYF32" s="179"/>
      <c r="BYG32" s="179"/>
    </row>
    <row r="33" spans="1:2009" ht="17.25" customHeight="1" thickBot="1" x14ac:dyDescent="0.3">
      <c r="A33" s="81"/>
      <c r="B33" s="81"/>
      <c r="C33" s="142"/>
      <c r="D33" s="142"/>
      <c r="E33" s="142"/>
      <c r="F33" s="142"/>
      <c r="G33" s="515"/>
      <c r="N33" s="160"/>
      <c r="P33" s="160"/>
    </row>
    <row r="34" spans="1:2009" s="83" customFormat="1" ht="24.95" hidden="1" customHeight="1" x14ac:dyDescent="0.25">
      <c r="A34" s="107" t="s">
        <v>37</v>
      </c>
      <c r="B34" s="108"/>
      <c r="C34" s="151"/>
      <c r="D34" s="151"/>
      <c r="E34" s="152"/>
      <c r="F34" s="152"/>
      <c r="G34" s="522"/>
      <c r="H34"/>
      <c r="I34" s="21"/>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82"/>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82"/>
      <c r="JY34" s="82"/>
      <c r="JZ34" s="82"/>
      <c r="KA34" s="82"/>
      <c r="KB34" s="82"/>
      <c r="KC34" s="82"/>
      <c r="KD34" s="82"/>
      <c r="KE34" s="82"/>
      <c r="KF34" s="82"/>
      <c r="KG34" s="82"/>
      <c r="KH34" s="82"/>
      <c r="KI34" s="82"/>
      <c r="KJ34" s="82"/>
      <c r="KK34" s="82"/>
      <c r="KL34" s="82"/>
      <c r="KM34" s="82"/>
      <c r="KN34" s="82"/>
      <c r="KO34" s="82"/>
      <c r="KP34" s="82"/>
      <c r="KQ34" s="82"/>
      <c r="KR34" s="82"/>
      <c r="KS34" s="82"/>
      <c r="KT34" s="82"/>
      <c r="KU34" s="82"/>
      <c r="KV34" s="82"/>
      <c r="KW34" s="82"/>
      <c r="KX34" s="82"/>
      <c r="KY34" s="82"/>
      <c r="KZ34" s="82"/>
      <c r="LA34" s="82"/>
      <c r="LB34" s="82"/>
      <c r="LC34" s="82"/>
      <c r="LD34" s="82"/>
      <c r="LE34" s="82"/>
      <c r="LF34" s="82"/>
      <c r="LG34" s="82"/>
      <c r="LH34" s="82"/>
      <c r="LI34" s="82"/>
      <c r="LJ34" s="82"/>
      <c r="LK34" s="82"/>
      <c r="LL34" s="82"/>
      <c r="LM34" s="82"/>
      <c r="LN34" s="82"/>
      <c r="LO34" s="82"/>
      <c r="LP34" s="82"/>
      <c r="LQ34" s="82"/>
      <c r="LR34" s="82"/>
      <c r="LS34" s="82"/>
      <c r="LT34" s="82"/>
      <c r="LU34" s="82"/>
      <c r="LV34" s="82"/>
      <c r="LW34" s="82"/>
      <c r="LX34" s="82"/>
      <c r="LY34" s="82"/>
      <c r="LZ34" s="82"/>
      <c r="MA34" s="82"/>
      <c r="MB34" s="82"/>
      <c r="MC34" s="82"/>
      <c r="MD34" s="82"/>
      <c r="ME34" s="82"/>
      <c r="MF34" s="82"/>
      <c r="MG34" s="82"/>
      <c r="MH34" s="82"/>
      <c r="MI34" s="82"/>
      <c r="MJ34" s="82"/>
      <c r="MK34" s="82"/>
      <c r="ML34" s="82"/>
      <c r="MM34" s="82"/>
      <c r="MN34" s="82"/>
      <c r="MO34" s="82"/>
      <c r="MP34" s="82"/>
      <c r="MQ34" s="82"/>
      <c r="MR34" s="82"/>
      <c r="MS34" s="82"/>
      <c r="MT34" s="82"/>
      <c r="MU34" s="82"/>
      <c r="MV34" s="82"/>
      <c r="MW34" s="82"/>
      <c r="MX34" s="82"/>
      <c r="MY34" s="82"/>
      <c r="MZ34" s="82"/>
      <c r="NA34" s="82"/>
      <c r="NB34" s="82"/>
      <c r="NC34" s="82"/>
      <c r="ND34" s="82"/>
      <c r="NE34" s="82"/>
      <c r="NF34" s="82"/>
      <c r="NG34" s="82"/>
      <c r="NH34" s="82"/>
      <c r="NI34" s="82"/>
      <c r="NJ34" s="82"/>
      <c r="NK34" s="82"/>
      <c r="NL34" s="82"/>
      <c r="NM34" s="82"/>
      <c r="NN34" s="82"/>
      <c r="NO34" s="82"/>
      <c r="NP34" s="82"/>
      <c r="NQ34" s="82"/>
      <c r="NR34" s="82"/>
      <c r="NS34" s="82"/>
      <c r="NT34" s="82"/>
      <c r="NU34" s="82"/>
      <c r="NV34" s="82"/>
      <c r="NW34" s="82"/>
      <c r="NX34" s="82"/>
      <c r="NY34" s="82"/>
      <c r="NZ34" s="82"/>
      <c r="OA34" s="82"/>
      <c r="OB34" s="82"/>
      <c r="OC34" s="82"/>
      <c r="OD34" s="82"/>
      <c r="OE34" s="82"/>
      <c r="OF34" s="82"/>
      <c r="OG34" s="82"/>
      <c r="OH34" s="82"/>
      <c r="OI34" s="82"/>
      <c r="OJ34" s="82"/>
      <c r="OK34" s="82"/>
      <c r="OL34" s="82"/>
      <c r="OM34" s="82"/>
      <c r="ON34" s="82"/>
      <c r="OO34" s="82"/>
      <c r="OP34" s="82"/>
      <c r="OQ34" s="82"/>
      <c r="OR34" s="82"/>
      <c r="OS34" s="82"/>
      <c r="OT34" s="82"/>
      <c r="OU34" s="82"/>
      <c r="OV34" s="82"/>
      <c r="OW34" s="82"/>
      <c r="OX34" s="82"/>
      <c r="OY34" s="82"/>
      <c r="OZ34" s="82"/>
      <c r="PA34" s="82"/>
      <c r="PB34" s="82"/>
      <c r="PC34" s="82"/>
      <c r="PD34" s="82"/>
      <c r="PE34" s="82"/>
      <c r="PF34" s="82"/>
      <c r="PG34" s="82"/>
      <c r="PH34" s="82"/>
      <c r="PI34" s="82"/>
      <c r="PJ34" s="82"/>
      <c r="PK34" s="82"/>
      <c r="PL34" s="82"/>
      <c r="PM34" s="82"/>
      <c r="PN34" s="82"/>
      <c r="PO34" s="82"/>
      <c r="PP34" s="82"/>
      <c r="PQ34" s="82"/>
      <c r="PR34" s="82"/>
      <c r="PS34" s="82"/>
      <c r="PT34" s="82"/>
      <c r="PU34" s="82"/>
      <c r="PV34" s="82"/>
      <c r="PW34" s="82"/>
      <c r="PX34" s="82"/>
      <c r="PY34" s="82"/>
      <c r="PZ34" s="82"/>
      <c r="QA34" s="82"/>
      <c r="QB34" s="82"/>
      <c r="QC34" s="82"/>
      <c r="QD34" s="82"/>
      <c r="QE34" s="82"/>
      <c r="QF34" s="82"/>
      <c r="QG34" s="82"/>
      <c r="QH34" s="82"/>
      <c r="QI34" s="82"/>
      <c r="QJ34" s="82"/>
      <c r="QK34" s="82"/>
      <c r="QL34" s="82"/>
      <c r="QM34" s="82"/>
      <c r="QN34" s="82"/>
      <c r="QO34" s="82"/>
      <c r="QP34" s="82"/>
      <c r="QQ34" s="82"/>
      <c r="QR34" s="82"/>
      <c r="QS34" s="82"/>
      <c r="QT34" s="82"/>
      <c r="QU34" s="82"/>
      <c r="QV34" s="82"/>
      <c r="QW34" s="82"/>
      <c r="QX34" s="82"/>
      <c r="QY34" s="82"/>
      <c r="QZ34" s="82"/>
      <c r="RA34" s="82"/>
      <c r="RB34" s="82"/>
      <c r="RC34" s="82"/>
      <c r="RD34" s="82"/>
      <c r="RE34" s="82"/>
      <c r="RF34" s="82"/>
      <c r="RG34" s="82"/>
      <c r="RH34" s="82"/>
      <c r="RI34" s="82"/>
      <c r="RJ34" s="82"/>
      <c r="RK34" s="82"/>
      <c r="RL34" s="82"/>
      <c r="RM34" s="82"/>
      <c r="RN34" s="82"/>
      <c r="RO34" s="82"/>
      <c r="RP34" s="82"/>
      <c r="RQ34" s="82"/>
      <c r="RR34" s="82"/>
      <c r="RS34" s="82"/>
      <c r="RT34" s="82"/>
      <c r="RU34" s="82"/>
      <c r="RV34" s="82"/>
      <c r="RW34" s="82"/>
      <c r="RX34" s="82"/>
      <c r="RY34" s="82"/>
      <c r="RZ34" s="82"/>
      <c r="SA34" s="82"/>
      <c r="SB34" s="82"/>
      <c r="SC34" s="82"/>
      <c r="SD34" s="82"/>
      <c r="SE34" s="82"/>
      <c r="SF34" s="82"/>
      <c r="SG34" s="82"/>
      <c r="SH34" s="82"/>
      <c r="SI34" s="82"/>
      <c r="SJ34" s="82"/>
      <c r="SK34" s="82"/>
      <c r="SL34" s="82"/>
      <c r="SM34" s="82"/>
      <c r="SN34" s="82"/>
      <c r="SO34" s="82"/>
      <c r="SP34" s="82"/>
      <c r="SQ34" s="82"/>
      <c r="SR34" s="82"/>
      <c r="SS34" s="82"/>
      <c r="ST34" s="82"/>
      <c r="SU34" s="82"/>
      <c r="SV34" s="82"/>
      <c r="SW34" s="82"/>
      <c r="SX34" s="82"/>
      <c r="SY34" s="82"/>
      <c r="SZ34" s="82"/>
      <c r="TA34" s="82"/>
      <c r="TB34" s="82"/>
      <c r="TC34" s="82"/>
      <c r="TD34" s="82"/>
      <c r="TE34" s="82"/>
      <c r="TF34" s="82"/>
      <c r="TG34" s="82"/>
      <c r="TH34" s="82"/>
      <c r="TI34" s="82"/>
      <c r="TJ34" s="82"/>
      <c r="TK34" s="82"/>
      <c r="TL34" s="82"/>
      <c r="TM34" s="82"/>
      <c r="TN34" s="82"/>
      <c r="TO34" s="82"/>
      <c r="TP34" s="82"/>
      <c r="TQ34" s="82"/>
      <c r="TR34" s="82"/>
      <c r="TS34" s="82"/>
      <c r="TT34" s="82"/>
      <c r="TU34" s="82"/>
      <c r="TV34" s="82"/>
      <c r="TW34" s="82"/>
      <c r="TX34" s="82"/>
      <c r="TY34" s="82"/>
      <c r="TZ34" s="82"/>
      <c r="UA34" s="82"/>
      <c r="UB34" s="82"/>
      <c r="UC34" s="82"/>
      <c r="UD34" s="82"/>
      <c r="UE34" s="82"/>
      <c r="UF34" s="82"/>
      <c r="UG34" s="82"/>
      <c r="UH34" s="82"/>
      <c r="UI34" s="82"/>
      <c r="UJ34" s="82"/>
      <c r="UK34" s="82"/>
      <c r="UL34" s="82"/>
      <c r="UM34" s="82"/>
      <c r="UN34" s="82"/>
      <c r="UO34" s="82"/>
      <c r="UP34" s="82"/>
      <c r="UQ34" s="82"/>
      <c r="UR34" s="82"/>
      <c r="US34" s="82"/>
      <c r="UT34" s="82"/>
      <c r="UU34" s="82"/>
      <c r="UV34" s="82"/>
      <c r="UW34" s="82"/>
      <c r="UX34" s="82"/>
      <c r="UY34" s="82"/>
      <c r="UZ34" s="82"/>
      <c r="VA34" s="82"/>
      <c r="VB34" s="82"/>
      <c r="VC34" s="82"/>
      <c r="VD34" s="82"/>
      <c r="VE34" s="82"/>
      <c r="VF34" s="82"/>
      <c r="VG34" s="82"/>
      <c r="VH34" s="82"/>
      <c r="VI34" s="82"/>
      <c r="VJ34" s="82"/>
      <c r="VK34" s="82"/>
      <c r="VL34" s="82"/>
      <c r="VM34" s="82"/>
      <c r="VN34" s="82"/>
      <c r="VO34" s="82"/>
      <c r="VP34" s="82"/>
      <c r="VQ34" s="82"/>
      <c r="VR34" s="82"/>
      <c r="VS34" s="82"/>
      <c r="VT34" s="82"/>
      <c r="VU34" s="82"/>
      <c r="VV34" s="82"/>
      <c r="VW34" s="82"/>
      <c r="VX34" s="82"/>
      <c r="VY34" s="82"/>
      <c r="VZ34" s="82"/>
      <c r="WA34" s="82"/>
      <c r="WB34" s="82"/>
      <c r="WC34" s="82"/>
      <c r="WD34" s="82"/>
      <c r="WE34" s="82"/>
      <c r="WF34" s="82"/>
      <c r="WG34" s="82"/>
      <c r="WH34" s="82"/>
      <c r="WI34" s="82"/>
      <c r="WJ34" s="82"/>
      <c r="WK34" s="82"/>
      <c r="WL34" s="82"/>
      <c r="WM34" s="82"/>
      <c r="WN34" s="82"/>
      <c r="WO34" s="82"/>
      <c r="WP34" s="82"/>
      <c r="WQ34" s="82"/>
      <c r="WR34" s="82"/>
      <c r="WS34" s="82"/>
      <c r="WT34" s="82"/>
      <c r="WU34" s="82"/>
      <c r="WV34" s="82"/>
      <c r="WW34" s="82"/>
      <c r="WX34" s="82"/>
      <c r="WY34" s="82"/>
      <c r="WZ34" s="82"/>
      <c r="XA34" s="82"/>
      <c r="XB34" s="82"/>
      <c r="XC34" s="82"/>
      <c r="XD34" s="82"/>
      <c r="XE34" s="82"/>
      <c r="XF34" s="82"/>
      <c r="XG34" s="82"/>
      <c r="XH34" s="82"/>
      <c r="XI34" s="82"/>
      <c r="XJ34" s="82"/>
      <c r="XK34" s="82"/>
      <c r="XL34" s="82"/>
      <c r="XM34" s="82"/>
      <c r="XN34" s="82"/>
      <c r="XO34" s="82"/>
      <c r="XP34" s="82"/>
      <c r="XQ34" s="82"/>
      <c r="XR34" s="82"/>
      <c r="XS34" s="82"/>
      <c r="XT34" s="82"/>
      <c r="XU34" s="82"/>
      <c r="XV34" s="82"/>
      <c r="XW34" s="82"/>
      <c r="XX34" s="82"/>
      <c r="XY34" s="82"/>
      <c r="XZ34" s="82"/>
      <c r="YA34" s="82"/>
      <c r="YB34" s="82"/>
      <c r="YC34" s="82"/>
      <c r="YD34" s="82"/>
      <c r="YE34" s="82"/>
      <c r="YF34" s="82"/>
      <c r="YG34" s="82"/>
      <c r="YH34" s="82"/>
      <c r="YI34" s="82"/>
      <c r="YJ34" s="82"/>
      <c r="YK34" s="82"/>
      <c r="YL34" s="82"/>
      <c r="YM34" s="82"/>
      <c r="YN34" s="82"/>
      <c r="YO34" s="82"/>
      <c r="YP34" s="82"/>
      <c r="YQ34" s="82"/>
      <c r="YR34" s="82"/>
      <c r="YS34" s="82"/>
      <c r="YT34" s="82"/>
      <c r="YU34" s="82"/>
      <c r="YV34" s="82"/>
      <c r="YW34" s="82"/>
      <c r="YX34" s="82"/>
      <c r="YY34" s="82"/>
      <c r="YZ34" s="82"/>
      <c r="ZA34" s="82"/>
      <c r="ZB34" s="82"/>
      <c r="ZC34" s="82"/>
      <c r="ZD34" s="82"/>
      <c r="ZE34" s="82"/>
      <c r="ZF34" s="82"/>
      <c r="ZG34" s="82"/>
      <c r="ZH34" s="82"/>
      <c r="ZI34" s="82"/>
      <c r="ZJ34" s="82"/>
      <c r="ZK34" s="82"/>
      <c r="ZL34" s="82"/>
      <c r="ZM34" s="82"/>
      <c r="ZN34" s="82"/>
      <c r="ZO34" s="82"/>
      <c r="ZP34" s="82"/>
      <c r="ZQ34" s="82"/>
      <c r="ZR34" s="82"/>
      <c r="ZS34" s="82"/>
      <c r="ZT34" s="82"/>
      <c r="ZU34" s="82"/>
      <c r="ZV34" s="82"/>
      <c r="ZW34" s="82"/>
      <c r="ZX34" s="82"/>
      <c r="ZY34" s="82"/>
      <c r="ZZ34" s="82"/>
      <c r="AAA34" s="82"/>
      <c r="AAB34" s="82"/>
      <c r="AAC34" s="82"/>
      <c r="AAD34" s="82"/>
      <c r="AAE34" s="82"/>
      <c r="AAF34" s="82"/>
      <c r="AAG34" s="82"/>
      <c r="AAH34" s="82"/>
      <c r="AAI34" s="82"/>
      <c r="AAJ34" s="82"/>
      <c r="AAK34" s="82"/>
      <c r="AAL34" s="82"/>
      <c r="AAM34" s="82"/>
      <c r="AAN34" s="82"/>
      <c r="AAO34" s="82"/>
      <c r="AAP34" s="82"/>
      <c r="AAQ34" s="82"/>
      <c r="AAR34" s="82"/>
      <c r="AAS34" s="82"/>
      <c r="AAT34" s="82"/>
      <c r="AAU34" s="82"/>
      <c r="AAV34" s="82"/>
      <c r="AAW34" s="82"/>
      <c r="AAX34" s="82"/>
      <c r="AAY34" s="82"/>
      <c r="AAZ34" s="82"/>
      <c r="ABA34" s="82"/>
      <c r="ABB34" s="82"/>
      <c r="ABC34" s="82"/>
      <c r="ABD34" s="82"/>
      <c r="ABE34" s="82"/>
      <c r="ABF34" s="82"/>
      <c r="ABG34" s="82"/>
      <c r="ABH34" s="82"/>
      <c r="ABI34" s="82"/>
      <c r="ABJ34" s="82"/>
      <c r="ABK34" s="82"/>
      <c r="ABL34" s="82"/>
      <c r="ABM34" s="82"/>
      <c r="ABN34" s="82"/>
      <c r="ABO34" s="82"/>
      <c r="ABP34" s="82"/>
      <c r="ABQ34" s="82"/>
      <c r="ABR34" s="82"/>
      <c r="ABS34" s="82"/>
      <c r="ABT34" s="82"/>
      <c r="ABU34" s="82"/>
      <c r="ABV34" s="82"/>
      <c r="ABW34" s="82"/>
      <c r="ABX34" s="82"/>
      <c r="ABY34" s="82"/>
      <c r="ABZ34" s="82"/>
      <c r="ACA34" s="82"/>
      <c r="ACB34" s="82"/>
      <c r="ACC34" s="82"/>
      <c r="ACD34" s="82"/>
      <c r="ACE34" s="82"/>
      <c r="ACF34" s="82"/>
      <c r="ACG34" s="82"/>
      <c r="ACH34" s="82"/>
      <c r="ACI34" s="82"/>
      <c r="ACJ34" s="82"/>
      <c r="ACK34" s="82"/>
      <c r="ACL34" s="82"/>
      <c r="ACM34" s="82"/>
      <c r="ACN34" s="82"/>
      <c r="ACO34" s="82"/>
      <c r="ACP34" s="82"/>
      <c r="ACQ34" s="82"/>
      <c r="ACR34" s="82"/>
      <c r="ACS34" s="82"/>
      <c r="ACT34" s="82"/>
      <c r="ACU34" s="82"/>
      <c r="ACV34" s="82"/>
      <c r="ACW34" s="82"/>
      <c r="ACX34" s="82"/>
      <c r="ACY34" s="82"/>
      <c r="ACZ34" s="82"/>
      <c r="ADA34" s="82"/>
      <c r="ADB34" s="82"/>
      <c r="ADC34" s="82"/>
      <c r="ADD34" s="82"/>
      <c r="ADE34" s="82"/>
      <c r="ADF34" s="82"/>
      <c r="ADG34" s="82"/>
      <c r="ADH34" s="82"/>
      <c r="ADI34" s="82"/>
      <c r="ADJ34" s="82"/>
      <c r="ADK34" s="82"/>
      <c r="ADL34" s="82"/>
      <c r="ADM34" s="82"/>
      <c r="ADN34" s="82"/>
      <c r="ADO34" s="82"/>
      <c r="ADP34" s="82"/>
      <c r="ADQ34" s="82"/>
      <c r="ADR34" s="82"/>
      <c r="ADS34" s="82"/>
      <c r="ADT34" s="82"/>
      <c r="ADU34" s="82"/>
      <c r="ADV34" s="82"/>
      <c r="ADW34" s="82"/>
      <c r="ADX34" s="82"/>
      <c r="ADY34" s="82"/>
      <c r="ADZ34" s="82"/>
      <c r="AEA34" s="82"/>
      <c r="AEB34" s="82"/>
      <c r="AEC34" s="82"/>
      <c r="AED34" s="82"/>
      <c r="AEE34" s="82"/>
      <c r="AEF34" s="82"/>
      <c r="AEG34" s="82"/>
      <c r="AEH34" s="82"/>
      <c r="AEI34" s="82"/>
      <c r="AEJ34" s="82"/>
      <c r="AEK34" s="82"/>
      <c r="AEL34" s="82"/>
      <c r="AEM34" s="82"/>
      <c r="AEN34" s="82"/>
      <c r="AEO34" s="82"/>
      <c r="AEP34" s="82"/>
      <c r="AEQ34" s="82"/>
      <c r="AER34" s="82"/>
      <c r="AES34" s="82"/>
      <c r="AET34" s="82"/>
      <c r="AEU34" s="82"/>
      <c r="AEV34" s="82"/>
      <c r="AEW34" s="82"/>
      <c r="AEX34" s="82"/>
      <c r="AEY34" s="82"/>
      <c r="AEZ34" s="82"/>
      <c r="AFA34" s="82"/>
      <c r="AFB34" s="82"/>
      <c r="AFC34" s="82"/>
      <c r="AFD34" s="82"/>
      <c r="AFE34" s="82"/>
      <c r="AFF34" s="82"/>
      <c r="AFG34" s="82"/>
      <c r="AFH34" s="82"/>
      <c r="AFI34" s="82"/>
      <c r="AFJ34" s="82"/>
      <c r="AFK34" s="82"/>
      <c r="AFL34" s="82"/>
      <c r="AFM34" s="82"/>
      <c r="AFN34" s="82"/>
      <c r="AFO34" s="82"/>
      <c r="AFP34" s="82"/>
      <c r="AFQ34" s="82"/>
      <c r="AFR34" s="82"/>
      <c r="AFS34" s="82"/>
      <c r="AFT34" s="82"/>
      <c r="AFU34" s="82"/>
      <c r="AFV34" s="82"/>
      <c r="AFW34" s="82"/>
      <c r="AFX34" s="82"/>
      <c r="AFY34" s="82"/>
      <c r="AFZ34" s="82"/>
      <c r="AGA34" s="82"/>
      <c r="AGB34" s="82"/>
      <c r="AGC34" s="82"/>
      <c r="AGD34" s="82"/>
      <c r="AGE34" s="82"/>
      <c r="AGF34" s="82"/>
      <c r="AGG34" s="82"/>
      <c r="AGH34" s="82"/>
      <c r="AGI34" s="82"/>
      <c r="AGJ34" s="82"/>
      <c r="AGK34" s="82"/>
      <c r="AGL34" s="82"/>
      <c r="AGM34" s="82"/>
      <c r="AGN34" s="82"/>
      <c r="AGO34" s="82"/>
      <c r="AGP34" s="82"/>
      <c r="AGQ34" s="82"/>
      <c r="AGR34" s="82"/>
      <c r="AGS34" s="82"/>
      <c r="AGT34" s="82"/>
      <c r="AGU34" s="82"/>
      <c r="AGV34" s="82"/>
      <c r="AGW34" s="82"/>
      <c r="AGX34" s="82"/>
      <c r="AGY34" s="82"/>
      <c r="AGZ34" s="82"/>
      <c r="AHA34" s="82"/>
      <c r="AHB34" s="82"/>
      <c r="AHC34" s="82"/>
      <c r="AHD34" s="82"/>
      <c r="AHE34" s="82"/>
      <c r="AHF34" s="82"/>
      <c r="AHG34" s="82"/>
      <c r="AHH34" s="82"/>
      <c r="AHI34" s="82"/>
      <c r="AHJ34" s="82"/>
      <c r="AHK34" s="82"/>
      <c r="AHL34" s="82"/>
      <c r="AHM34" s="82"/>
      <c r="AHN34" s="82"/>
      <c r="AHO34" s="82"/>
      <c r="AHP34" s="82"/>
      <c r="AHQ34" s="82"/>
      <c r="AHR34" s="82"/>
      <c r="AHS34" s="82"/>
      <c r="AHT34" s="82"/>
      <c r="AHU34" s="82"/>
      <c r="AHV34" s="82"/>
      <c r="AHW34" s="82"/>
      <c r="AHX34" s="82"/>
      <c r="AHY34" s="82"/>
      <c r="AHZ34" s="82"/>
      <c r="AIA34" s="82"/>
      <c r="AIB34" s="82"/>
      <c r="AIC34" s="82"/>
      <c r="AID34" s="82"/>
      <c r="AIE34" s="82"/>
      <c r="AIF34" s="82"/>
      <c r="AIG34" s="82"/>
      <c r="AIH34" s="82"/>
      <c r="AII34" s="82"/>
      <c r="AIJ34" s="82"/>
      <c r="AIK34" s="82"/>
      <c r="AIL34" s="82"/>
      <c r="AIM34" s="82"/>
      <c r="AIN34" s="82"/>
      <c r="AIO34" s="82"/>
      <c r="AIP34" s="82"/>
      <c r="AIQ34" s="82"/>
      <c r="AIR34" s="82"/>
      <c r="AIS34" s="82"/>
      <c r="AIT34" s="82"/>
      <c r="AIU34" s="82"/>
      <c r="AIV34" s="82"/>
      <c r="AIW34" s="82"/>
      <c r="AIX34" s="82"/>
      <c r="AIY34" s="82"/>
      <c r="AIZ34" s="82"/>
      <c r="AJA34" s="82"/>
      <c r="AJB34" s="82"/>
      <c r="AJC34" s="82"/>
      <c r="AJD34" s="82"/>
      <c r="AJE34" s="82"/>
      <c r="AJF34" s="82"/>
      <c r="AJG34" s="82"/>
      <c r="AJH34" s="82"/>
      <c r="AJI34" s="82"/>
      <c r="AJJ34" s="82"/>
      <c r="AJK34" s="82"/>
      <c r="AJL34" s="82"/>
      <c r="AJM34" s="82"/>
      <c r="AJN34" s="82"/>
      <c r="AJO34" s="82"/>
      <c r="AJP34" s="82"/>
      <c r="AJQ34" s="82"/>
      <c r="AJR34" s="82"/>
      <c r="AJS34" s="82"/>
      <c r="AJT34" s="82"/>
      <c r="AJU34" s="82"/>
      <c r="AJV34" s="82"/>
      <c r="AJW34" s="82"/>
      <c r="AJX34" s="82"/>
      <c r="AJY34" s="82"/>
      <c r="AJZ34" s="82"/>
      <c r="AKA34" s="82"/>
      <c r="AKB34" s="82"/>
      <c r="AKC34" s="82"/>
      <c r="AKD34" s="82"/>
      <c r="AKE34" s="82"/>
      <c r="AKF34" s="82"/>
      <c r="AKG34" s="82"/>
      <c r="AKH34" s="82"/>
      <c r="AKI34" s="82"/>
      <c r="AKJ34" s="82"/>
      <c r="AKK34" s="82"/>
      <c r="AKL34" s="82"/>
      <c r="AKM34" s="82"/>
      <c r="AKN34" s="82"/>
      <c r="AKO34" s="82"/>
      <c r="AKP34" s="82"/>
      <c r="AKQ34" s="82"/>
      <c r="AKR34" s="82"/>
      <c r="AKS34" s="82"/>
      <c r="AKT34" s="82"/>
      <c r="AKU34" s="82"/>
      <c r="AKV34" s="82"/>
      <c r="AKW34" s="82"/>
      <c r="AKX34" s="82"/>
      <c r="AKY34" s="82"/>
      <c r="AKZ34" s="82"/>
      <c r="ALA34" s="82"/>
      <c r="ALB34" s="82"/>
      <c r="ALC34" s="82"/>
      <c r="ALD34" s="82"/>
      <c r="ALE34" s="82"/>
      <c r="ALF34" s="82"/>
      <c r="ALG34" s="82"/>
      <c r="ALH34" s="82"/>
      <c r="ALI34" s="82"/>
      <c r="ALJ34" s="82"/>
      <c r="ALK34" s="82"/>
      <c r="ALL34" s="82"/>
      <c r="ALM34" s="82"/>
      <c r="ALN34" s="82"/>
      <c r="ALO34" s="82"/>
      <c r="ALP34" s="82"/>
      <c r="ALQ34" s="82"/>
      <c r="ALR34" s="82"/>
      <c r="ALS34" s="82"/>
      <c r="ALT34" s="82"/>
      <c r="ALU34" s="82"/>
      <c r="ALV34" s="82"/>
      <c r="ALW34" s="82"/>
      <c r="ALX34" s="82"/>
      <c r="ALY34" s="82"/>
      <c r="ALZ34" s="82"/>
      <c r="AMA34" s="82"/>
      <c r="AMB34" s="82"/>
      <c r="AMC34" s="82"/>
      <c r="AMD34" s="82"/>
      <c r="AME34" s="82"/>
      <c r="AMF34" s="82"/>
      <c r="AMG34" s="82"/>
      <c r="AMH34" s="82"/>
      <c r="AMI34" s="82"/>
      <c r="AMJ34" s="82"/>
      <c r="AMK34" s="82"/>
      <c r="AML34" s="82"/>
      <c r="AMM34" s="82"/>
      <c r="AMN34" s="82"/>
      <c r="AMO34" s="82"/>
      <c r="AMP34" s="82"/>
      <c r="AMQ34" s="82"/>
      <c r="AMR34" s="82"/>
      <c r="AMS34" s="82"/>
      <c r="AMT34" s="82"/>
      <c r="AMU34" s="82"/>
      <c r="AMV34" s="82"/>
      <c r="AMW34" s="82"/>
      <c r="AMX34" s="82"/>
      <c r="AMY34" s="82"/>
      <c r="AMZ34" s="82"/>
      <c r="ANA34" s="82"/>
      <c r="ANB34" s="82"/>
      <c r="ANC34" s="82"/>
      <c r="AND34" s="82"/>
      <c r="ANE34" s="82"/>
      <c r="ANF34" s="82"/>
      <c r="ANG34" s="82"/>
      <c r="ANH34" s="82"/>
      <c r="ANI34" s="82"/>
      <c r="ANJ34" s="82"/>
      <c r="ANK34" s="82"/>
      <c r="ANL34" s="82"/>
      <c r="ANM34" s="82"/>
      <c r="ANN34" s="82"/>
      <c r="ANO34" s="82"/>
      <c r="ANP34" s="82"/>
      <c r="ANQ34" s="82"/>
      <c r="ANR34" s="82"/>
      <c r="ANS34" s="82"/>
      <c r="ANT34" s="82"/>
      <c r="ANU34" s="82"/>
      <c r="ANV34" s="82"/>
      <c r="ANW34" s="82"/>
      <c r="ANX34" s="82"/>
      <c r="ANY34" s="82"/>
      <c r="ANZ34" s="82"/>
      <c r="AOA34" s="82"/>
      <c r="AOB34" s="82"/>
      <c r="AOC34" s="82"/>
      <c r="AOD34" s="82"/>
      <c r="AOE34" s="82"/>
      <c r="AOF34" s="82"/>
      <c r="AOG34" s="82"/>
      <c r="AOH34" s="82"/>
      <c r="AOI34" s="82"/>
      <c r="AOJ34" s="82"/>
      <c r="AOK34" s="82"/>
      <c r="AOL34" s="82"/>
      <c r="AOM34" s="82"/>
      <c r="AON34" s="82"/>
      <c r="AOO34" s="82"/>
      <c r="AOP34" s="82"/>
      <c r="AOQ34" s="82"/>
      <c r="AOR34" s="82"/>
      <c r="AOS34" s="82"/>
      <c r="AOT34" s="82"/>
      <c r="AOU34" s="82"/>
      <c r="AOV34" s="82"/>
      <c r="AOW34" s="82"/>
      <c r="AOX34" s="82"/>
      <c r="AOY34" s="82"/>
      <c r="AOZ34" s="82"/>
      <c r="APA34" s="82"/>
      <c r="APB34" s="82"/>
      <c r="APC34" s="82"/>
      <c r="APD34" s="82"/>
      <c r="APE34" s="82"/>
      <c r="APF34" s="82"/>
      <c r="APG34" s="82"/>
      <c r="APH34" s="82"/>
      <c r="API34" s="82"/>
      <c r="APJ34" s="82"/>
      <c r="APK34" s="82"/>
      <c r="APL34" s="82"/>
      <c r="APM34" s="82"/>
      <c r="APN34" s="82"/>
      <c r="APO34" s="82"/>
      <c r="APP34" s="82"/>
      <c r="APQ34" s="82"/>
      <c r="APR34" s="82"/>
      <c r="APS34" s="82"/>
      <c r="APT34" s="82"/>
      <c r="APU34" s="82"/>
      <c r="APV34" s="82"/>
      <c r="APW34" s="82"/>
      <c r="APX34" s="82"/>
      <c r="APY34" s="82"/>
      <c r="APZ34" s="82"/>
      <c r="AQA34" s="82"/>
      <c r="AQB34" s="82"/>
      <c r="AQC34" s="82"/>
      <c r="AQD34" s="82"/>
      <c r="AQE34" s="82"/>
      <c r="AQF34" s="82"/>
      <c r="AQG34" s="82"/>
      <c r="AQH34" s="82"/>
      <c r="AQI34" s="82"/>
      <c r="AQJ34" s="82"/>
      <c r="AQK34" s="82"/>
      <c r="AQL34" s="82"/>
      <c r="AQM34" s="82"/>
      <c r="AQN34" s="82"/>
      <c r="AQO34" s="82"/>
      <c r="AQP34" s="82"/>
      <c r="AQQ34" s="82"/>
      <c r="AQR34" s="82"/>
      <c r="AQS34" s="82"/>
      <c r="AQT34" s="82"/>
      <c r="AQU34" s="82"/>
      <c r="AQV34" s="82"/>
      <c r="AQW34" s="82"/>
      <c r="AQX34" s="82"/>
      <c r="AQY34" s="82"/>
      <c r="AQZ34" s="82"/>
      <c r="ARA34" s="82"/>
      <c r="ARB34" s="82"/>
      <c r="ARC34" s="82"/>
      <c r="ARD34" s="82"/>
      <c r="ARE34" s="82"/>
      <c r="ARF34" s="82"/>
      <c r="ARG34" s="82"/>
      <c r="ARH34" s="82"/>
      <c r="ARI34" s="82"/>
      <c r="ARJ34" s="82"/>
      <c r="ARK34" s="82"/>
      <c r="ARL34" s="82"/>
      <c r="ARM34" s="82"/>
      <c r="ARN34" s="82"/>
      <c r="ARO34" s="82"/>
      <c r="ARP34" s="82"/>
      <c r="ARQ34" s="82"/>
      <c r="ARR34" s="82"/>
      <c r="ARS34" s="82"/>
      <c r="ART34" s="82"/>
      <c r="ARU34" s="82"/>
      <c r="ARV34" s="82"/>
      <c r="ARW34" s="82"/>
      <c r="ARX34" s="82"/>
      <c r="ARY34" s="82"/>
      <c r="ARZ34" s="82"/>
      <c r="ASA34" s="82"/>
      <c r="ASB34" s="82"/>
      <c r="ASC34" s="82"/>
      <c r="ASD34" s="82"/>
      <c r="ASE34" s="82"/>
      <c r="ASF34" s="82"/>
      <c r="ASG34" s="82"/>
      <c r="ASH34" s="82"/>
      <c r="ASI34" s="82"/>
      <c r="ASJ34" s="82"/>
      <c r="ASK34" s="82"/>
      <c r="ASL34" s="82"/>
      <c r="ASM34" s="82"/>
      <c r="ASN34" s="82"/>
      <c r="ASO34" s="82"/>
      <c r="ASP34" s="82"/>
      <c r="ASQ34" s="82"/>
      <c r="ASR34" s="82"/>
      <c r="ASS34" s="82"/>
      <c r="AST34" s="82"/>
      <c r="ASU34" s="82"/>
      <c r="ASV34" s="82"/>
      <c r="ASW34" s="82"/>
      <c r="ASX34" s="82"/>
      <c r="ASY34" s="82"/>
      <c r="ASZ34" s="82"/>
      <c r="ATA34" s="82"/>
      <c r="ATB34" s="82"/>
      <c r="ATC34" s="82"/>
      <c r="ATD34" s="82"/>
      <c r="ATE34" s="82"/>
      <c r="ATF34" s="82"/>
      <c r="ATG34" s="82"/>
      <c r="ATH34" s="82"/>
      <c r="ATI34" s="82"/>
      <c r="ATJ34" s="82"/>
      <c r="ATK34" s="82"/>
      <c r="ATL34" s="82"/>
      <c r="ATM34" s="82"/>
      <c r="ATN34" s="82"/>
      <c r="ATO34" s="82"/>
      <c r="ATP34" s="82"/>
      <c r="ATQ34" s="82"/>
      <c r="ATR34" s="82"/>
      <c r="ATS34" s="82"/>
      <c r="ATT34" s="82"/>
      <c r="ATU34" s="82"/>
      <c r="ATV34" s="82"/>
      <c r="ATW34" s="82"/>
      <c r="ATX34" s="82"/>
      <c r="ATY34" s="82"/>
      <c r="ATZ34" s="82"/>
      <c r="AUA34" s="82"/>
      <c r="AUB34" s="82"/>
      <c r="AUC34" s="82"/>
      <c r="AUD34" s="82"/>
      <c r="AUE34" s="82"/>
      <c r="AUF34" s="82"/>
      <c r="AUG34" s="82"/>
      <c r="AUH34" s="82"/>
      <c r="AUI34" s="82"/>
      <c r="AUJ34" s="82"/>
      <c r="AUK34" s="82"/>
      <c r="AUL34" s="82"/>
      <c r="AUM34" s="82"/>
      <c r="AUN34" s="82"/>
      <c r="AUO34" s="82"/>
      <c r="AUP34" s="82"/>
      <c r="AUQ34" s="82"/>
      <c r="AUR34" s="82"/>
      <c r="AUS34" s="82"/>
      <c r="AUT34" s="82"/>
      <c r="AUU34" s="82"/>
      <c r="AUV34" s="82"/>
      <c r="AUW34" s="82"/>
      <c r="AUX34" s="82"/>
      <c r="AUY34" s="82"/>
      <c r="AUZ34" s="82"/>
      <c r="AVA34" s="82"/>
      <c r="AVB34" s="82"/>
      <c r="AVC34" s="82"/>
      <c r="AVD34" s="82"/>
      <c r="AVE34" s="82"/>
      <c r="AVF34" s="82"/>
      <c r="AVG34" s="82"/>
      <c r="AVH34" s="82"/>
      <c r="AVI34" s="82"/>
      <c r="AVJ34" s="82"/>
      <c r="AVK34" s="82"/>
      <c r="AVL34" s="82"/>
      <c r="AVM34" s="82"/>
      <c r="AVN34" s="82"/>
      <c r="AVO34" s="82"/>
      <c r="AVP34" s="82"/>
      <c r="AVQ34" s="82"/>
      <c r="AVR34" s="82"/>
      <c r="AVS34" s="82"/>
      <c r="AVT34" s="82"/>
      <c r="AVU34" s="82"/>
      <c r="AVV34" s="82"/>
      <c r="AVW34" s="82"/>
      <c r="AVX34" s="82"/>
      <c r="AVY34" s="82"/>
      <c r="AVZ34" s="82"/>
      <c r="AWA34" s="82"/>
      <c r="AWB34" s="82"/>
      <c r="AWC34" s="82"/>
      <c r="AWD34" s="82"/>
      <c r="AWE34" s="82"/>
      <c r="AWF34" s="82"/>
      <c r="AWG34" s="82"/>
      <c r="AWH34" s="82"/>
      <c r="AWI34" s="82"/>
      <c r="AWJ34" s="82"/>
      <c r="AWK34" s="82"/>
      <c r="AWL34" s="82"/>
      <c r="AWM34" s="82"/>
      <c r="AWN34" s="82"/>
      <c r="AWO34" s="82"/>
      <c r="AWP34" s="82"/>
      <c r="AWQ34" s="82"/>
      <c r="AWR34" s="82"/>
      <c r="AWS34" s="82"/>
      <c r="AWT34" s="82"/>
      <c r="AWU34" s="82"/>
      <c r="AWV34" s="82"/>
      <c r="AWW34" s="82"/>
      <c r="AWX34" s="82"/>
      <c r="AWY34" s="82"/>
      <c r="AWZ34" s="82"/>
      <c r="AXA34" s="82"/>
      <c r="AXB34" s="82"/>
      <c r="AXC34" s="82"/>
      <c r="AXD34" s="82"/>
      <c r="AXE34" s="82"/>
      <c r="AXF34" s="82"/>
      <c r="AXG34" s="82"/>
      <c r="AXH34" s="82"/>
      <c r="AXI34" s="82"/>
      <c r="AXJ34" s="82"/>
      <c r="AXK34" s="82"/>
      <c r="AXL34" s="82"/>
      <c r="AXM34" s="82"/>
      <c r="AXN34" s="82"/>
      <c r="AXO34" s="82"/>
      <c r="AXP34" s="82"/>
      <c r="AXQ34" s="82"/>
      <c r="AXR34" s="82"/>
      <c r="AXS34" s="82"/>
      <c r="AXT34" s="82"/>
      <c r="AXU34" s="82"/>
      <c r="AXV34" s="82"/>
      <c r="AXW34" s="82"/>
      <c r="AXX34" s="82"/>
      <c r="AXY34" s="82"/>
      <c r="AXZ34" s="82"/>
      <c r="AYA34" s="82"/>
      <c r="AYB34" s="82"/>
      <c r="AYC34" s="82"/>
      <c r="AYD34" s="82"/>
      <c r="AYE34" s="82"/>
      <c r="AYF34" s="82"/>
      <c r="AYG34" s="82"/>
      <c r="AYH34" s="82"/>
      <c r="AYI34" s="82"/>
      <c r="AYJ34" s="82"/>
      <c r="AYK34" s="82"/>
      <c r="AYL34" s="82"/>
      <c r="AYM34" s="82"/>
      <c r="AYN34" s="82"/>
      <c r="AYO34" s="82"/>
      <c r="AYP34" s="82"/>
      <c r="AYQ34" s="82"/>
      <c r="AYR34" s="82"/>
      <c r="AYS34" s="82"/>
      <c r="AYT34" s="82"/>
      <c r="AYU34" s="82"/>
      <c r="AYV34" s="82"/>
      <c r="AYW34" s="82"/>
      <c r="AYX34" s="82"/>
      <c r="AYY34" s="82"/>
      <c r="AYZ34" s="82"/>
      <c r="AZA34" s="82"/>
      <c r="AZB34" s="82"/>
      <c r="AZC34" s="82"/>
      <c r="AZD34" s="82"/>
      <c r="AZE34" s="82"/>
      <c r="AZF34" s="82"/>
      <c r="AZG34" s="82"/>
      <c r="AZH34" s="82"/>
      <c r="AZI34" s="82"/>
      <c r="AZJ34" s="82"/>
      <c r="AZK34" s="82"/>
      <c r="AZL34" s="82"/>
      <c r="AZM34" s="82"/>
      <c r="AZN34" s="82"/>
      <c r="AZO34" s="82"/>
      <c r="AZP34" s="82"/>
      <c r="AZQ34" s="82"/>
      <c r="AZR34" s="82"/>
      <c r="AZS34" s="82"/>
      <c r="AZT34" s="82"/>
      <c r="AZU34" s="82"/>
      <c r="AZV34" s="82"/>
      <c r="AZW34" s="82"/>
      <c r="AZX34" s="82"/>
      <c r="AZY34" s="82"/>
      <c r="AZZ34" s="82"/>
      <c r="BAA34" s="82"/>
      <c r="BAB34" s="82"/>
      <c r="BAC34" s="82"/>
      <c r="BAD34" s="82"/>
      <c r="BAE34" s="82"/>
      <c r="BAF34" s="82"/>
      <c r="BAG34" s="82"/>
      <c r="BAH34" s="82"/>
      <c r="BAI34" s="82"/>
      <c r="BAJ34" s="82"/>
      <c r="BAK34" s="82"/>
      <c r="BAL34" s="82"/>
      <c r="BAM34" s="82"/>
      <c r="BAN34" s="82"/>
      <c r="BAO34" s="82"/>
      <c r="BAP34" s="82"/>
      <c r="BAQ34" s="82"/>
      <c r="BAR34" s="82"/>
      <c r="BAS34" s="82"/>
      <c r="BAT34" s="82"/>
      <c r="BAU34" s="82"/>
      <c r="BAV34" s="82"/>
      <c r="BAW34" s="82"/>
      <c r="BAX34" s="82"/>
      <c r="BAY34" s="82"/>
      <c r="BAZ34" s="82"/>
      <c r="BBA34" s="82"/>
      <c r="BBB34" s="82"/>
      <c r="BBC34" s="82"/>
      <c r="BBD34" s="82"/>
      <c r="BBE34" s="82"/>
      <c r="BBF34" s="82"/>
      <c r="BBG34" s="82"/>
      <c r="BBH34" s="82"/>
      <c r="BBI34" s="82"/>
      <c r="BBJ34" s="82"/>
      <c r="BBK34" s="82"/>
      <c r="BBL34" s="82"/>
      <c r="BBM34" s="82"/>
      <c r="BBN34" s="82"/>
      <c r="BBO34" s="82"/>
      <c r="BBP34" s="82"/>
      <c r="BBQ34" s="82"/>
      <c r="BBR34" s="82"/>
      <c r="BBS34" s="82"/>
      <c r="BBT34" s="82"/>
      <c r="BBU34" s="82"/>
      <c r="BBV34" s="82"/>
      <c r="BBW34" s="82"/>
      <c r="BBX34" s="82"/>
      <c r="BBY34" s="82"/>
      <c r="BBZ34" s="82"/>
      <c r="BCA34" s="82"/>
      <c r="BCB34" s="82"/>
      <c r="BCC34" s="82"/>
      <c r="BCD34" s="82"/>
      <c r="BCE34" s="82"/>
      <c r="BCF34" s="82"/>
      <c r="BCG34" s="82"/>
      <c r="BCH34" s="82"/>
      <c r="BCI34" s="82"/>
      <c r="BCJ34" s="82"/>
      <c r="BCK34" s="82"/>
      <c r="BCL34" s="82"/>
      <c r="BCM34" s="82"/>
      <c r="BCN34" s="82"/>
      <c r="BCO34" s="82"/>
      <c r="BCP34" s="82"/>
      <c r="BCQ34" s="82"/>
      <c r="BCR34" s="82"/>
      <c r="BCS34" s="82"/>
      <c r="BCT34" s="82"/>
      <c r="BCU34" s="82"/>
      <c r="BCV34" s="82"/>
      <c r="BCW34" s="82"/>
      <c r="BCX34" s="82"/>
      <c r="BCY34" s="82"/>
      <c r="BCZ34" s="82"/>
      <c r="BDA34" s="82"/>
      <c r="BDB34" s="82"/>
      <c r="BDC34" s="82"/>
      <c r="BDD34" s="82"/>
      <c r="BDE34" s="82"/>
      <c r="BDF34" s="82"/>
      <c r="BDG34" s="82"/>
      <c r="BDH34" s="82"/>
      <c r="BDI34" s="82"/>
      <c r="BDJ34" s="82"/>
      <c r="BDK34" s="82"/>
      <c r="BDL34" s="82"/>
      <c r="BDM34" s="82"/>
      <c r="BDN34" s="82"/>
      <c r="BDO34" s="82"/>
      <c r="BDP34" s="82"/>
      <c r="BDQ34" s="82"/>
      <c r="BDR34" s="82"/>
      <c r="BDS34" s="82"/>
      <c r="BDT34" s="82"/>
      <c r="BDU34" s="82"/>
      <c r="BDV34" s="82"/>
      <c r="BDW34" s="82"/>
      <c r="BDX34" s="82"/>
      <c r="BDY34" s="82"/>
      <c r="BDZ34" s="82"/>
      <c r="BEA34" s="82"/>
      <c r="BEB34" s="82"/>
      <c r="BEC34" s="82"/>
      <c r="BED34" s="82"/>
      <c r="BEE34" s="82"/>
      <c r="BEF34" s="82"/>
      <c r="BEG34" s="82"/>
      <c r="BEH34" s="82"/>
      <c r="BEI34" s="82"/>
      <c r="BEJ34" s="82"/>
      <c r="BEK34" s="82"/>
      <c r="BEL34" s="82"/>
      <c r="BEM34" s="82"/>
      <c r="BEN34" s="82"/>
      <c r="BEO34" s="82"/>
      <c r="BEP34" s="82"/>
      <c r="BEQ34" s="82"/>
      <c r="BER34" s="82"/>
      <c r="BES34" s="82"/>
      <c r="BET34" s="82"/>
      <c r="BEU34" s="82"/>
      <c r="BEV34" s="82"/>
      <c r="BEW34" s="82"/>
      <c r="BEX34" s="82"/>
      <c r="BEY34" s="82"/>
      <c r="BEZ34" s="82"/>
      <c r="BFA34" s="82"/>
      <c r="BFB34" s="82"/>
      <c r="BFC34" s="82"/>
      <c r="BFD34" s="82"/>
      <c r="BFE34" s="82"/>
      <c r="BFF34" s="82"/>
      <c r="BFG34" s="82"/>
      <c r="BFH34" s="82"/>
      <c r="BFI34" s="82"/>
      <c r="BFJ34" s="82"/>
      <c r="BFK34" s="82"/>
      <c r="BFL34" s="82"/>
      <c r="BFM34" s="82"/>
      <c r="BFN34" s="82"/>
      <c r="BFO34" s="82"/>
      <c r="BFP34" s="82"/>
      <c r="BFQ34" s="82"/>
      <c r="BFR34" s="82"/>
      <c r="BFS34" s="82"/>
      <c r="BFT34" s="82"/>
      <c r="BFU34" s="82"/>
      <c r="BFV34" s="82"/>
      <c r="BFW34" s="82"/>
      <c r="BFX34" s="82"/>
      <c r="BFY34" s="82"/>
      <c r="BFZ34" s="82"/>
      <c r="BGA34" s="82"/>
      <c r="BGB34" s="82"/>
      <c r="BGC34" s="82"/>
      <c r="BGD34" s="82"/>
      <c r="BGE34" s="82"/>
      <c r="BGF34" s="82"/>
      <c r="BGG34" s="82"/>
      <c r="BGH34" s="82"/>
      <c r="BGI34" s="82"/>
      <c r="BGJ34" s="82"/>
      <c r="BGK34" s="82"/>
      <c r="BGL34" s="82"/>
      <c r="BGM34" s="82"/>
      <c r="BGN34" s="82"/>
      <c r="BGO34" s="82"/>
      <c r="BGP34" s="82"/>
      <c r="BGQ34" s="82"/>
      <c r="BGR34" s="82"/>
      <c r="BGS34" s="82"/>
      <c r="BGT34" s="82"/>
      <c r="BGU34" s="82"/>
      <c r="BGV34" s="82"/>
      <c r="BGW34" s="82"/>
      <c r="BGX34" s="82"/>
      <c r="BGY34" s="82"/>
      <c r="BGZ34" s="82"/>
      <c r="BHA34" s="82"/>
      <c r="BHB34" s="82"/>
      <c r="BHC34" s="82"/>
      <c r="BHD34" s="82"/>
      <c r="BHE34" s="82"/>
      <c r="BHF34" s="82"/>
      <c r="BHG34" s="82"/>
      <c r="BHH34" s="82"/>
      <c r="BHI34" s="82"/>
      <c r="BHJ34" s="82"/>
      <c r="BHK34" s="82"/>
      <c r="BHL34" s="82"/>
      <c r="BHM34" s="82"/>
      <c r="BHN34" s="82"/>
      <c r="BHO34" s="82"/>
      <c r="BHP34" s="82"/>
      <c r="BHQ34" s="82"/>
      <c r="BHR34" s="82"/>
      <c r="BHS34" s="82"/>
      <c r="BHT34" s="82"/>
      <c r="BHU34" s="82"/>
      <c r="BHV34" s="82"/>
      <c r="BHW34" s="82"/>
      <c r="BHX34" s="82"/>
      <c r="BHY34" s="82"/>
      <c r="BHZ34" s="82"/>
      <c r="BIA34" s="82"/>
      <c r="BIB34" s="82"/>
      <c r="BIC34" s="82"/>
      <c r="BID34" s="82"/>
      <c r="BIE34" s="82"/>
      <c r="BIF34" s="82"/>
      <c r="BIG34" s="82"/>
      <c r="BIH34" s="82"/>
      <c r="BII34" s="82"/>
      <c r="BIJ34" s="82"/>
      <c r="BIK34" s="82"/>
      <c r="BIL34" s="82"/>
      <c r="BIM34" s="82"/>
      <c r="BIN34" s="82"/>
      <c r="BIO34" s="82"/>
      <c r="BIP34" s="82"/>
      <c r="BIQ34" s="82"/>
      <c r="BIR34" s="82"/>
      <c r="BIS34" s="82"/>
      <c r="BIT34" s="82"/>
      <c r="BIU34" s="82"/>
      <c r="BIV34" s="82"/>
      <c r="BIW34" s="82"/>
      <c r="BIX34" s="82"/>
      <c r="BIY34" s="82"/>
      <c r="BIZ34" s="82"/>
      <c r="BJA34" s="82"/>
      <c r="BJB34" s="82"/>
      <c r="BJC34" s="82"/>
      <c r="BJD34" s="82"/>
      <c r="BJE34" s="82"/>
      <c r="BJF34" s="82"/>
      <c r="BJG34" s="82"/>
      <c r="BJH34" s="82"/>
      <c r="BJI34" s="82"/>
      <c r="BJJ34" s="82"/>
      <c r="BJK34" s="82"/>
      <c r="BJL34" s="82"/>
      <c r="BJM34" s="82"/>
      <c r="BJN34" s="82"/>
      <c r="BJO34" s="82"/>
      <c r="BJP34" s="82"/>
      <c r="BJQ34" s="82"/>
      <c r="BJR34" s="82"/>
      <c r="BJS34" s="82"/>
      <c r="BJT34" s="82"/>
      <c r="BJU34" s="82"/>
      <c r="BJV34" s="82"/>
      <c r="BJW34" s="82"/>
      <c r="BJX34" s="82"/>
      <c r="BJY34" s="82"/>
      <c r="BJZ34" s="82"/>
      <c r="BKA34" s="82"/>
      <c r="BKB34" s="82"/>
      <c r="BKC34" s="82"/>
      <c r="BKD34" s="82"/>
      <c r="BKE34" s="82"/>
      <c r="BKF34" s="82"/>
      <c r="BKG34" s="82"/>
      <c r="BKH34" s="82"/>
      <c r="BKI34" s="82"/>
      <c r="BKJ34" s="82"/>
      <c r="BKK34" s="82"/>
      <c r="BKL34" s="82"/>
      <c r="BKM34" s="82"/>
      <c r="BKN34" s="82"/>
      <c r="BKO34" s="82"/>
      <c r="BKP34" s="82"/>
      <c r="BKQ34" s="82"/>
      <c r="BKR34" s="82"/>
      <c r="BKS34" s="82"/>
      <c r="BKT34" s="82"/>
      <c r="BKU34" s="82"/>
      <c r="BKV34" s="82"/>
      <c r="BKW34" s="82"/>
      <c r="BKX34" s="82"/>
      <c r="BKY34" s="82"/>
      <c r="BKZ34" s="82"/>
      <c r="BLA34" s="82"/>
      <c r="BLB34" s="82"/>
      <c r="BLC34" s="82"/>
      <c r="BLD34" s="82"/>
      <c r="BLE34" s="82"/>
      <c r="BLF34" s="82"/>
      <c r="BLG34" s="82"/>
      <c r="BLH34" s="82"/>
      <c r="BLI34" s="82"/>
      <c r="BLJ34" s="82"/>
      <c r="BLK34" s="82"/>
      <c r="BLL34" s="82"/>
      <c r="BLM34" s="82"/>
      <c r="BLN34" s="82"/>
      <c r="BLO34" s="82"/>
      <c r="BLP34" s="82"/>
      <c r="BLQ34" s="82"/>
      <c r="BLR34" s="82"/>
      <c r="BLS34" s="82"/>
      <c r="BLT34" s="82"/>
      <c r="BLU34" s="82"/>
      <c r="BLV34" s="82"/>
      <c r="BLW34" s="82"/>
      <c r="BLX34" s="82"/>
      <c r="BLY34" s="82"/>
      <c r="BLZ34" s="82"/>
      <c r="BMA34" s="82"/>
      <c r="BMB34" s="82"/>
      <c r="BMC34" s="82"/>
      <c r="BMD34" s="82"/>
      <c r="BME34" s="82"/>
      <c r="BMF34" s="82"/>
      <c r="BMG34" s="82"/>
      <c r="BMH34" s="82"/>
      <c r="BMI34" s="82"/>
      <c r="BMJ34" s="82"/>
      <c r="BMK34" s="82"/>
      <c r="BML34" s="82"/>
      <c r="BMM34" s="82"/>
      <c r="BMN34" s="82"/>
      <c r="BMO34" s="82"/>
      <c r="BMP34" s="82"/>
      <c r="BMQ34" s="82"/>
      <c r="BMR34" s="82"/>
      <c r="BMS34" s="82"/>
      <c r="BMT34" s="82"/>
      <c r="BMU34" s="82"/>
      <c r="BMV34" s="82"/>
      <c r="BMW34" s="82"/>
      <c r="BMX34" s="82"/>
      <c r="BMY34" s="82"/>
      <c r="BMZ34" s="82"/>
      <c r="BNA34" s="82"/>
      <c r="BNB34" s="82"/>
      <c r="BNC34" s="82"/>
      <c r="BND34" s="82"/>
      <c r="BNE34" s="82"/>
      <c r="BNF34" s="82"/>
      <c r="BNG34" s="82"/>
      <c r="BNH34" s="82"/>
      <c r="BNI34" s="82"/>
      <c r="BNJ34" s="82"/>
      <c r="BNK34" s="82"/>
      <c r="BNL34" s="82"/>
      <c r="BNM34" s="82"/>
      <c r="BNN34" s="82"/>
      <c r="BNO34" s="82"/>
      <c r="BNP34" s="82"/>
      <c r="BNQ34" s="82"/>
      <c r="BNR34" s="82"/>
      <c r="BNS34" s="82"/>
      <c r="BNT34" s="82"/>
      <c r="BNU34" s="82"/>
      <c r="BNV34" s="82"/>
      <c r="BNW34" s="82"/>
      <c r="BNX34" s="82"/>
      <c r="BNY34" s="82"/>
      <c r="BNZ34" s="82"/>
      <c r="BOA34" s="82"/>
      <c r="BOB34" s="82"/>
      <c r="BOC34" s="82"/>
      <c r="BOD34" s="82"/>
      <c r="BOE34" s="82"/>
      <c r="BOF34" s="82"/>
      <c r="BOG34" s="82"/>
      <c r="BOH34" s="82"/>
      <c r="BOI34" s="82"/>
      <c r="BOJ34" s="82"/>
      <c r="BOK34" s="82"/>
      <c r="BOL34" s="82"/>
      <c r="BOM34" s="82"/>
      <c r="BON34" s="82"/>
      <c r="BOO34" s="82"/>
      <c r="BOP34" s="82"/>
      <c r="BOQ34" s="82"/>
      <c r="BOR34" s="82"/>
      <c r="BOS34" s="82"/>
      <c r="BOT34" s="82"/>
      <c r="BOU34" s="82"/>
      <c r="BOV34" s="82"/>
      <c r="BOW34" s="82"/>
      <c r="BOX34" s="82"/>
      <c r="BOY34" s="82"/>
      <c r="BOZ34" s="82"/>
      <c r="BPA34" s="82"/>
      <c r="BPB34" s="82"/>
      <c r="BPC34" s="82"/>
      <c r="BPD34" s="82"/>
      <c r="BPE34" s="82"/>
      <c r="BPF34" s="82"/>
      <c r="BPG34" s="82"/>
      <c r="BPH34" s="82"/>
      <c r="BPI34" s="82"/>
      <c r="BPJ34" s="82"/>
      <c r="BPK34" s="82"/>
      <c r="BPL34" s="82"/>
      <c r="BPM34" s="82"/>
      <c r="BPN34" s="82"/>
      <c r="BPO34" s="82"/>
      <c r="BPP34" s="82"/>
      <c r="BPQ34" s="82"/>
      <c r="BPR34" s="82"/>
      <c r="BPS34" s="82"/>
      <c r="BPT34" s="82"/>
      <c r="BPU34" s="82"/>
      <c r="BPV34" s="82"/>
      <c r="BPW34" s="82"/>
      <c r="BPX34" s="82"/>
      <c r="BPY34" s="82"/>
      <c r="BPZ34" s="82"/>
      <c r="BQA34" s="82"/>
      <c r="BQB34" s="82"/>
      <c r="BQC34" s="82"/>
      <c r="BQD34" s="82"/>
      <c r="BQE34" s="82"/>
      <c r="BQF34" s="82"/>
      <c r="BQG34" s="82"/>
      <c r="BQH34" s="82"/>
      <c r="BQI34" s="82"/>
      <c r="BQJ34" s="82"/>
      <c r="BQK34" s="82"/>
      <c r="BQL34" s="82"/>
      <c r="BQM34" s="82"/>
      <c r="BQN34" s="82"/>
      <c r="BQO34" s="82"/>
      <c r="BQP34" s="82"/>
      <c r="BQQ34" s="82"/>
      <c r="BQR34" s="82"/>
      <c r="BQS34" s="82"/>
      <c r="BQT34" s="82"/>
      <c r="BQU34" s="82"/>
      <c r="BQV34" s="82"/>
      <c r="BQW34" s="82"/>
      <c r="BQX34" s="82"/>
      <c r="BQY34" s="82"/>
      <c r="BQZ34" s="82"/>
      <c r="BRA34" s="82"/>
      <c r="BRB34" s="82"/>
      <c r="BRC34" s="82"/>
      <c r="BRD34" s="82"/>
      <c r="BRE34" s="82"/>
      <c r="BRF34" s="82"/>
      <c r="BRG34" s="82"/>
      <c r="BRH34" s="82"/>
      <c r="BRI34" s="82"/>
      <c r="BRJ34" s="82"/>
      <c r="BRK34" s="82"/>
      <c r="BRL34" s="82"/>
      <c r="BRM34" s="82"/>
      <c r="BRN34" s="82"/>
      <c r="BRO34" s="82"/>
      <c r="BRP34" s="82"/>
      <c r="BRQ34" s="82"/>
      <c r="BRR34" s="82"/>
      <c r="BRS34" s="82"/>
      <c r="BRT34" s="82"/>
      <c r="BRU34" s="82"/>
      <c r="BRV34" s="82"/>
      <c r="BRW34" s="82"/>
      <c r="BRX34" s="82"/>
      <c r="BRY34" s="82"/>
      <c r="BRZ34" s="82"/>
      <c r="BSA34" s="82"/>
      <c r="BSB34" s="82"/>
      <c r="BSC34" s="82"/>
      <c r="BSD34" s="82"/>
      <c r="BSE34" s="82"/>
      <c r="BSF34" s="82"/>
      <c r="BSG34" s="82"/>
      <c r="BSH34" s="82"/>
      <c r="BSI34" s="82"/>
      <c r="BSJ34" s="82"/>
      <c r="BSK34" s="82"/>
      <c r="BSL34" s="82"/>
      <c r="BSM34" s="82"/>
      <c r="BSN34" s="82"/>
      <c r="BSO34" s="82"/>
      <c r="BSP34" s="82"/>
      <c r="BSQ34" s="82"/>
      <c r="BSR34" s="82"/>
      <c r="BSS34" s="82"/>
      <c r="BST34" s="82"/>
      <c r="BSU34" s="82"/>
      <c r="BSV34" s="82"/>
      <c r="BSW34" s="82"/>
      <c r="BSX34" s="82"/>
      <c r="BSY34" s="82"/>
      <c r="BSZ34" s="82"/>
      <c r="BTA34" s="82"/>
      <c r="BTB34" s="82"/>
      <c r="BTC34" s="82"/>
      <c r="BTD34" s="82"/>
      <c r="BTE34" s="82"/>
      <c r="BTF34" s="82"/>
      <c r="BTG34" s="82"/>
      <c r="BTH34" s="82"/>
      <c r="BTI34" s="82"/>
      <c r="BTJ34" s="82"/>
      <c r="BTK34" s="82"/>
      <c r="BTL34" s="82"/>
      <c r="BTM34" s="82"/>
      <c r="BTN34" s="82"/>
      <c r="BTO34" s="82"/>
      <c r="BTP34" s="82"/>
      <c r="BTQ34" s="82"/>
      <c r="BTR34" s="82"/>
      <c r="BTS34" s="82"/>
      <c r="BTT34" s="82"/>
      <c r="BTU34" s="82"/>
      <c r="BTV34" s="82"/>
      <c r="BTW34" s="82"/>
      <c r="BTX34" s="82"/>
      <c r="BTY34" s="82"/>
      <c r="BTZ34" s="82"/>
      <c r="BUA34" s="82"/>
      <c r="BUB34" s="82"/>
      <c r="BUC34" s="82"/>
      <c r="BUD34" s="82"/>
      <c r="BUE34" s="82"/>
      <c r="BUF34" s="82"/>
      <c r="BUG34" s="82"/>
      <c r="BUH34" s="82"/>
      <c r="BUI34" s="82"/>
      <c r="BUJ34" s="82"/>
      <c r="BUK34" s="82"/>
      <c r="BUL34" s="82"/>
      <c r="BUM34" s="82"/>
      <c r="BUN34" s="82"/>
      <c r="BUO34" s="82"/>
      <c r="BUP34" s="82"/>
      <c r="BUQ34" s="82"/>
      <c r="BUR34" s="82"/>
      <c r="BUS34" s="82"/>
      <c r="BUT34" s="82"/>
      <c r="BUU34" s="82"/>
      <c r="BUV34" s="82"/>
      <c r="BUW34" s="82"/>
      <c r="BUX34" s="82"/>
      <c r="BUY34" s="82"/>
      <c r="BUZ34" s="82"/>
      <c r="BVA34" s="82"/>
      <c r="BVB34" s="82"/>
      <c r="BVC34" s="82"/>
      <c r="BVD34" s="82"/>
      <c r="BVE34" s="82"/>
      <c r="BVF34" s="82"/>
      <c r="BVG34" s="82"/>
      <c r="BVH34" s="82"/>
      <c r="BVI34" s="82"/>
      <c r="BVJ34" s="82"/>
      <c r="BVK34" s="82"/>
      <c r="BVL34" s="82"/>
      <c r="BVM34" s="82"/>
      <c r="BVN34" s="82"/>
      <c r="BVO34" s="82"/>
      <c r="BVP34" s="82"/>
      <c r="BVQ34" s="82"/>
      <c r="BVR34" s="82"/>
      <c r="BVS34" s="82"/>
      <c r="BVT34" s="82"/>
      <c r="BVU34" s="82"/>
      <c r="BVV34" s="82"/>
      <c r="BVW34" s="82"/>
      <c r="BVX34" s="82"/>
      <c r="BVY34" s="82"/>
      <c r="BVZ34" s="82"/>
      <c r="BWA34" s="82"/>
      <c r="BWB34" s="82"/>
      <c r="BWC34" s="82"/>
      <c r="BWD34" s="82"/>
      <c r="BWE34" s="82"/>
      <c r="BWF34" s="82"/>
      <c r="BWG34" s="82"/>
      <c r="BWH34" s="82"/>
      <c r="BWI34" s="82"/>
      <c r="BWJ34" s="82"/>
      <c r="BWK34" s="82"/>
      <c r="BWL34" s="82"/>
      <c r="BWM34" s="82"/>
      <c r="BWN34" s="82"/>
      <c r="BWO34" s="82"/>
      <c r="BWP34" s="82"/>
      <c r="BWQ34" s="82"/>
      <c r="BWR34" s="82"/>
      <c r="BWS34" s="82"/>
      <c r="BWT34" s="82"/>
      <c r="BWU34" s="82"/>
      <c r="BWV34" s="82"/>
      <c r="BWW34" s="82"/>
      <c r="BWX34" s="82"/>
      <c r="BWY34" s="82"/>
      <c r="BWZ34" s="82"/>
      <c r="BXA34" s="82"/>
      <c r="BXB34" s="82"/>
      <c r="BXC34" s="82"/>
      <c r="BXD34" s="82"/>
      <c r="BXE34" s="82"/>
      <c r="BXF34" s="82"/>
      <c r="BXG34" s="82"/>
      <c r="BXH34" s="82"/>
      <c r="BXI34" s="82"/>
      <c r="BXJ34" s="82"/>
      <c r="BXK34" s="82"/>
      <c r="BXL34" s="82"/>
      <c r="BXM34" s="82"/>
      <c r="BXN34" s="82"/>
      <c r="BXO34" s="82"/>
      <c r="BXP34" s="82"/>
      <c r="BXQ34" s="82"/>
      <c r="BXR34" s="82"/>
      <c r="BXS34" s="82"/>
      <c r="BXT34" s="82"/>
      <c r="BXU34" s="82"/>
      <c r="BXV34" s="82"/>
      <c r="BXW34" s="82"/>
      <c r="BXX34" s="82"/>
      <c r="BXY34" s="82"/>
      <c r="BXZ34" s="82"/>
      <c r="BYA34" s="82"/>
      <c r="BYB34" s="82"/>
      <c r="BYC34" s="82"/>
      <c r="BYD34" s="82"/>
      <c r="BYE34" s="82"/>
      <c r="BYF34" s="82"/>
      <c r="BYG34" s="82"/>
    </row>
    <row r="35" spans="1:2009" s="80" customFormat="1" ht="24.95" hidden="1" customHeight="1" x14ac:dyDescent="0.25">
      <c r="A35" s="109"/>
      <c r="B35" s="84" t="s">
        <v>38</v>
      </c>
      <c r="C35" s="149"/>
      <c r="D35" s="149"/>
      <c r="E35" s="150"/>
      <c r="F35" s="150"/>
      <c r="G35" s="520"/>
      <c r="H35"/>
      <c r="I35" s="21"/>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c r="AMK35"/>
      <c r="AML35"/>
      <c r="AMM35"/>
      <c r="AMN35"/>
      <c r="AMO35"/>
      <c r="AMP35"/>
      <c r="AMQ35"/>
      <c r="AMR35"/>
      <c r="AMS35"/>
      <c r="AMT35"/>
      <c r="AMU35"/>
      <c r="AMV35"/>
      <c r="AMW35"/>
      <c r="AMX35"/>
      <c r="AMY35"/>
      <c r="AMZ35"/>
      <c r="ANA35"/>
      <c r="ANB35"/>
      <c r="ANC35"/>
      <c r="AND35"/>
      <c r="ANE35"/>
      <c r="ANF35"/>
      <c r="ANG35"/>
      <c r="ANH35"/>
      <c r="ANI35"/>
      <c r="ANJ35"/>
      <c r="ANK35"/>
      <c r="ANL35"/>
      <c r="ANM35"/>
      <c r="ANN35"/>
      <c r="ANO35"/>
      <c r="ANP35"/>
      <c r="ANQ35"/>
      <c r="ANR35"/>
      <c r="ANS35"/>
      <c r="ANT35"/>
      <c r="ANU35"/>
      <c r="ANV35"/>
      <c r="ANW35"/>
      <c r="ANX35"/>
      <c r="ANY35"/>
      <c r="ANZ35"/>
      <c r="AOA35"/>
      <c r="AOB35"/>
      <c r="AOC35"/>
      <c r="AOD35"/>
      <c r="AOE35"/>
      <c r="AOF35"/>
      <c r="AOG35"/>
      <c r="AOH35"/>
      <c r="AOI35"/>
      <c r="AOJ35"/>
      <c r="AOK35"/>
      <c r="AOL35"/>
      <c r="AOM35"/>
      <c r="AON35"/>
      <c r="AOO35"/>
      <c r="AOP35"/>
      <c r="AOQ35"/>
      <c r="AOR35"/>
      <c r="AOS35"/>
      <c r="AOT35"/>
      <c r="AOU35"/>
      <c r="AOV35"/>
      <c r="AOW35"/>
      <c r="AOX35"/>
      <c r="AOY35"/>
      <c r="AOZ35"/>
      <c r="APA35"/>
      <c r="APB35"/>
      <c r="APC35"/>
      <c r="APD35"/>
      <c r="APE35"/>
      <c r="APF35"/>
      <c r="APG35"/>
      <c r="APH35"/>
      <c r="API35"/>
      <c r="APJ35"/>
      <c r="APK35"/>
      <c r="APL35"/>
      <c r="APM35"/>
      <c r="APN35"/>
      <c r="APO35"/>
      <c r="APP35"/>
      <c r="APQ35"/>
      <c r="APR35"/>
      <c r="APS35"/>
      <c r="APT35"/>
      <c r="APU35"/>
      <c r="APV35"/>
      <c r="APW35"/>
      <c r="APX35"/>
      <c r="APY35"/>
      <c r="APZ35"/>
      <c r="AQA35"/>
      <c r="AQB35"/>
      <c r="AQC35"/>
      <c r="AQD35"/>
      <c r="AQE35"/>
      <c r="AQF35"/>
      <c r="AQG35"/>
      <c r="AQH35"/>
      <c r="AQI35"/>
      <c r="AQJ35"/>
      <c r="AQK35"/>
      <c r="AQL35"/>
      <c r="AQM35"/>
      <c r="AQN35"/>
      <c r="AQO35"/>
      <c r="AQP35"/>
      <c r="AQQ35"/>
      <c r="AQR35"/>
      <c r="AQS35"/>
      <c r="AQT35"/>
      <c r="AQU35"/>
      <c r="AQV35"/>
      <c r="AQW35"/>
      <c r="AQX35"/>
      <c r="AQY35"/>
      <c r="AQZ35"/>
      <c r="ARA35"/>
      <c r="ARB35"/>
      <c r="ARC35"/>
      <c r="ARD35"/>
      <c r="ARE35"/>
      <c r="ARF35"/>
      <c r="ARG35"/>
      <c r="ARH35"/>
      <c r="ARI35"/>
      <c r="ARJ35"/>
      <c r="ARK35"/>
      <c r="ARL35"/>
      <c r="ARM35"/>
      <c r="ARN35"/>
      <c r="ARO35"/>
      <c r="ARP35"/>
      <c r="ARQ35"/>
      <c r="ARR35"/>
      <c r="ARS35"/>
      <c r="ART35"/>
      <c r="ARU35"/>
      <c r="ARV35"/>
      <c r="ARW35"/>
      <c r="ARX35"/>
      <c r="ARY35"/>
      <c r="ARZ35"/>
      <c r="ASA35"/>
      <c r="ASB35"/>
      <c r="ASC35"/>
      <c r="ASD35"/>
      <c r="ASE35"/>
      <c r="ASF35"/>
      <c r="ASG35"/>
      <c r="ASH35"/>
      <c r="ASI35"/>
      <c r="ASJ35"/>
      <c r="ASK35"/>
      <c r="ASL35"/>
      <c r="ASM35"/>
      <c r="ASN35"/>
      <c r="ASO35"/>
      <c r="ASP35"/>
      <c r="ASQ35"/>
      <c r="ASR35"/>
      <c r="ASS35"/>
      <c r="AST35"/>
      <c r="ASU35"/>
      <c r="ASV35"/>
      <c r="ASW35"/>
      <c r="ASX35"/>
      <c r="ASY35"/>
      <c r="ASZ35"/>
      <c r="ATA35"/>
      <c r="ATB35"/>
      <c r="ATC35"/>
      <c r="ATD35"/>
      <c r="ATE35"/>
      <c r="ATF35"/>
      <c r="ATG35"/>
      <c r="ATH35"/>
      <c r="ATI35"/>
      <c r="ATJ35"/>
      <c r="ATK35"/>
      <c r="ATL35"/>
      <c r="ATM35"/>
      <c r="ATN35"/>
      <c r="ATO35"/>
      <c r="ATP35"/>
      <c r="ATQ35"/>
      <c r="ATR35"/>
      <c r="ATS35"/>
      <c r="ATT35"/>
      <c r="ATU35"/>
      <c r="ATV35"/>
      <c r="ATW35"/>
      <c r="ATX35"/>
      <c r="ATY35"/>
      <c r="ATZ35"/>
      <c r="AUA35"/>
      <c r="AUB35"/>
      <c r="AUC35"/>
      <c r="AUD35"/>
      <c r="AUE35"/>
      <c r="AUF35"/>
      <c r="AUG35"/>
      <c r="AUH35"/>
      <c r="AUI35"/>
      <c r="AUJ35"/>
      <c r="AUK35"/>
      <c r="AUL35"/>
      <c r="AUM35"/>
      <c r="AUN35"/>
      <c r="AUO35"/>
      <c r="AUP35"/>
      <c r="AUQ35"/>
      <c r="AUR35"/>
      <c r="AUS35"/>
      <c r="AUT35"/>
      <c r="AUU35"/>
      <c r="AUV35"/>
      <c r="AUW35"/>
      <c r="AUX35"/>
      <c r="AUY35"/>
      <c r="AUZ35"/>
      <c r="AVA35"/>
      <c r="AVB35"/>
      <c r="AVC35"/>
      <c r="AVD35"/>
      <c r="AVE35"/>
      <c r="AVF35"/>
      <c r="AVG35"/>
      <c r="AVH35"/>
      <c r="AVI35"/>
      <c r="AVJ35"/>
      <c r="AVK35"/>
      <c r="AVL35"/>
      <c r="AVM35"/>
      <c r="AVN35"/>
      <c r="AVO35"/>
      <c r="AVP35"/>
      <c r="AVQ35"/>
      <c r="AVR35"/>
      <c r="AVS35"/>
      <c r="AVT35"/>
      <c r="AVU35"/>
      <c r="AVV35"/>
      <c r="AVW35"/>
      <c r="AVX35"/>
      <c r="AVY35"/>
      <c r="AVZ35"/>
      <c r="AWA35"/>
      <c r="AWB35"/>
      <c r="AWC35"/>
      <c r="AWD35"/>
      <c r="AWE35"/>
      <c r="AWF35"/>
      <c r="AWG35"/>
      <c r="AWH35"/>
      <c r="AWI35"/>
      <c r="AWJ35"/>
      <c r="AWK35"/>
      <c r="AWL35"/>
      <c r="AWM35"/>
      <c r="AWN35"/>
      <c r="AWO35"/>
      <c r="AWP35"/>
      <c r="AWQ35"/>
      <c r="AWR35"/>
      <c r="AWS35"/>
      <c r="AWT35"/>
      <c r="AWU35"/>
      <c r="AWV35"/>
      <c r="AWW35"/>
      <c r="AWX35"/>
      <c r="AWY35"/>
      <c r="AWZ35"/>
      <c r="AXA35"/>
      <c r="AXB35"/>
      <c r="AXC35"/>
      <c r="AXD35"/>
      <c r="AXE35"/>
      <c r="AXF35"/>
      <c r="AXG35"/>
      <c r="AXH35"/>
      <c r="AXI35"/>
      <c r="AXJ35"/>
      <c r="AXK35"/>
      <c r="AXL35"/>
      <c r="AXM35"/>
      <c r="AXN35"/>
      <c r="AXO35"/>
      <c r="AXP35"/>
      <c r="AXQ35"/>
      <c r="AXR35"/>
      <c r="AXS35"/>
      <c r="AXT35"/>
      <c r="AXU35"/>
      <c r="AXV35"/>
      <c r="AXW35"/>
      <c r="AXX35"/>
      <c r="AXY35"/>
      <c r="AXZ35"/>
      <c r="AYA35"/>
      <c r="AYB35"/>
      <c r="AYC35"/>
      <c r="AYD35"/>
      <c r="AYE35"/>
      <c r="AYF35"/>
      <c r="AYG35"/>
      <c r="AYH35"/>
      <c r="AYI35"/>
      <c r="AYJ35"/>
      <c r="AYK35"/>
      <c r="AYL35"/>
      <c r="AYM35"/>
      <c r="AYN35"/>
      <c r="AYO35"/>
      <c r="AYP35"/>
      <c r="AYQ35"/>
      <c r="AYR35"/>
      <c r="AYS35"/>
      <c r="AYT35"/>
      <c r="AYU35"/>
      <c r="AYV35"/>
      <c r="AYW35"/>
      <c r="AYX35"/>
      <c r="AYY35"/>
      <c r="AYZ35"/>
      <c r="AZA35"/>
      <c r="AZB35"/>
      <c r="AZC35"/>
      <c r="AZD35"/>
      <c r="AZE35"/>
      <c r="AZF35"/>
      <c r="AZG35"/>
      <c r="AZH35"/>
      <c r="AZI35"/>
      <c r="AZJ35"/>
      <c r="AZK35"/>
      <c r="AZL35"/>
      <c r="AZM35"/>
      <c r="AZN35"/>
      <c r="AZO35"/>
      <c r="AZP35"/>
      <c r="AZQ35"/>
      <c r="AZR35"/>
      <c r="AZS35"/>
      <c r="AZT35"/>
      <c r="AZU35"/>
      <c r="AZV35"/>
      <c r="AZW35"/>
      <c r="AZX35"/>
      <c r="AZY35"/>
      <c r="AZZ35"/>
      <c r="BAA35"/>
      <c r="BAB35"/>
      <c r="BAC35"/>
      <c r="BAD35"/>
      <c r="BAE35"/>
      <c r="BAF35"/>
      <c r="BAG35"/>
      <c r="BAH35"/>
      <c r="BAI35"/>
      <c r="BAJ35"/>
      <c r="BAK35"/>
      <c r="BAL35"/>
      <c r="BAM35"/>
      <c r="BAN35"/>
      <c r="BAO35"/>
      <c r="BAP35"/>
      <c r="BAQ35"/>
      <c r="BAR35"/>
      <c r="BAS35"/>
      <c r="BAT35"/>
      <c r="BAU35"/>
      <c r="BAV35"/>
      <c r="BAW35"/>
      <c r="BAX35"/>
      <c r="BAY35"/>
      <c r="BAZ35"/>
      <c r="BBA35"/>
      <c r="BBB35"/>
      <c r="BBC35"/>
      <c r="BBD35"/>
      <c r="BBE35"/>
      <c r="BBF35"/>
      <c r="BBG35"/>
      <c r="BBH35"/>
      <c r="BBI35"/>
      <c r="BBJ35"/>
      <c r="BBK35"/>
      <c r="BBL35"/>
      <c r="BBM35"/>
      <c r="BBN35"/>
      <c r="BBO35"/>
      <c r="BBP35"/>
      <c r="BBQ35"/>
      <c r="BBR35"/>
      <c r="BBS35"/>
      <c r="BBT35"/>
      <c r="BBU35"/>
      <c r="BBV35"/>
      <c r="BBW35"/>
      <c r="BBX35"/>
      <c r="BBY35"/>
      <c r="BBZ35"/>
      <c r="BCA35"/>
      <c r="BCB35"/>
      <c r="BCC35"/>
      <c r="BCD35"/>
      <c r="BCE35"/>
      <c r="BCF35"/>
      <c r="BCG35"/>
      <c r="BCH35"/>
      <c r="BCI35"/>
      <c r="BCJ35"/>
      <c r="BCK35"/>
      <c r="BCL35"/>
      <c r="BCM35"/>
      <c r="BCN35"/>
      <c r="BCO35"/>
      <c r="BCP35"/>
      <c r="BCQ35"/>
      <c r="BCR35"/>
      <c r="BCS35"/>
      <c r="BCT35"/>
      <c r="BCU35"/>
      <c r="BCV35"/>
      <c r="BCW35"/>
      <c r="BCX35"/>
      <c r="BCY35"/>
      <c r="BCZ35"/>
      <c r="BDA35"/>
      <c r="BDB35"/>
      <c r="BDC35"/>
      <c r="BDD35"/>
      <c r="BDE35"/>
      <c r="BDF35"/>
      <c r="BDG35"/>
      <c r="BDH35"/>
      <c r="BDI35"/>
      <c r="BDJ35"/>
      <c r="BDK35"/>
      <c r="BDL35"/>
      <c r="BDM35"/>
      <c r="BDN35"/>
      <c r="BDO35"/>
      <c r="BDP35"/>
      <c r="BDQ35"/>
      <c r="BDR35"/>
      <c r="BDS35"/>
      <c r="BDT35"/>
      <c r="BDU35"/>
      <c r="BDV35"/>
      <c r="BDW35"/>
      <c r="BDX35"/>
      <c r="BDY35"/>
      <c r="BDZ35"/>
      <c r="BEA35"/>
      <c r="BEB35"/>
      <c r="BEC35"/>
      <c r="BED35"/>
      <c r="BEE35"/>
      <c r="BEF35"/>
      <c r="BEG35"/>
      <c r="BEH35"/>
      <c r="BEI35"/>
      <c r="BEJ35"/>
      <c r="BEK35"/>
      <c r="BEL35"/>
      <c r="BEM35"/>
      <c r="BEN35"/>
      <c r="BEO35"/>
      <c r="BEP35"/>
      <c r="BEQ35"/>
      <c r="BER35"/>
      <c r="BES35"/>
      <c r="BET35"/>
      <c r="BEU35"/>
      <c r="BEV35"/>
      <c r="BEW35"/>
      <c r="BEX35"/>
      <c r="BEY35"/>
      <c r="BEZ35"/>
      <c r="BFA35"/>
      <c r="BFB35"/>
      <c r="BFC35"/>
      <c r="BFD35"/>
      <c r="BFE35"/>
      <c r="BFF35"/>
      <c r="BFG35"/>
      <c r="BFH35"/>
      <c r="BFI35"/>
      <c r="BFJ35"/>
      <c r="BFK35"/>
      <c r="BFL35"/>
      <c r="BFM35"/>
      <c r="BFN35"/>
      <c r="BFO35"/>
      <c r="BFP35"/>
      <c r="BFQ35"/>
      <c r="BFR35"/>
      <c r="BFS35"/>
      <c r="BFT35"/>
      <c r="BFU35"/>
      <c r="BFV35"/>
      <c r="BFW35"/>
      <c r="BFX35"/>
      <c r="BFY35"/>
      <c r="BFZ35"/>
      <c r="BGA35"/>
      <c r="BGB35"/>
      <c r="BGC35"/>
      <c r="BGD35"/>
      <c r="BGE35"/>
      <c r="BGF35"/>
      <c r="BGG35"/>
      <c r="BGH35"/>
      <c r="BGI35"/>
      <c r="BGJ35"/>
      <c r="BGK35"/>
      <c r="BGL35"/>
      <c r="BGM35"/>
      <c r="BGN35"/>
      <c r="BGO35"/>
      <c r="BGP35"/>
      <c r="BGQ35"/>
      <c r="BGR35"/>
      <c r="BGS35"/>
      <c r="BGT35"/>
      <c r="BGU35"/>
      <c r="BGV35"/>
      <c r="BGW35"/>
      <c r="BGX35"/>
      <c r="BGY35"/>
      <c r="BGZ35"/>
      <c r="BHA35"/>
      <c r="BHB35"/>
      <c r="BHC35"/>
      <c r="BHD35"/>
      <c r="BHE35"/>
      <c r="BHF35"/>
      <c r="BHG35"/>
      <c r="BHH35"/>
      <c r="BHI35"/>
      <c r="BHJ35"/>
      <c r="BHK35"/>
      <c r="BHL35"/>
      <c r="BHM35"/>
      <c r="BHN35"/>
      <c r="BHO35"/>
      <c r="BHP35"/>
      <c r="BHQ35"/>
      <c r="BHR35"/>
      <c r="BHS35"/>
      <c r="BHT35"/>
      <c r="BHU35"/>
      <c r="BHV35"/>
      <c r="BHW35"/>
      <c r="BHX35"/>
      <c r="BHY35"/>
      <c r="BHZ35"/>
      <c r="BIA35"/>
      <c r="BIB35"/>
      <c r="BIC35"/>
      <c r="BID35"/>
      <c r="BIE35"/>
      <c r="BIF35"/>
      <c r="BIG35"/>
      <c r="BIH35"/>
      <c r="BII35"/>
      <c r="BIJ35"/>
      <c r="BIK35"/>
      <c r="BIL35"/>
      <c r="BIM35"/>
      <c r="BIN35"/>
      <c r="BIO35"/>
      <c r="BIP35"/>
      <c r="BIQ35"/>
      <c r="BIR35"/>
      <c r="BIS35"/>
      <c r="BIT35"/>
      <c r="BIU35"/>
      <c r="BIV35"/>
      <c r="BIW35"/>
      <c r="BIX35"/>
      <c r="BIY35"/>
      <c r="BIZ35"/>
      <c r="BJA35"/>
      <c r="BJB35"/>
      <c r="BJC35"/>
      <c r="BJD35"/>
      <c r="BJE35"/>
      <c r="BJF35"/>
      <c r="BJG35"/>
      <c r="BJH35"/>
      <c r="BJI35"/>
      <c r="BJJ35"/>
      <c r="BJK35"/>
      <c r="BJL35"/>
      <c r="BJM35"/>
      <c r="BJN35"/>
      <c r="BJO35"/>
      <c r="BJP35"/>
      <c r="BJQ35"/>
      <c r="BJR35"/>
      <c r="BJS35"/>
      <c r="BJT35"/>
      <c r="BJU35"/>
      <c r="BJV35"/>
      <c r="BJW35"/>
      <c r="BJX35"/>
      <c r="BJY35"/>
      <c r="BJZ35"/>
      <c r="BKA35"/>
      <c r="BKB35"/>
      <c r="BKC35"/>
      <c r="BKD35"/>
      <c r="BKE35"/>
      <c r="BKF35"/>
      <c r="BKG35"/>
      <c r="BKH35"/>
      <c r="BKI35"/>
      <c r="BKJ35"/>
      <c r="BKK35"/>
      <c r="BKL35"/>
      <c r="BKM35"/>
      <c r="BKN35"/>
      <c r="BKO35"/>
      <c r="BKP35"/>
      <c r="BKQ35"/>
      <c r="BKR35"/>
      <c r="BKS35"/>
      <c r="BKT35"/>
      <c r="BKU35"/>
      <c r="BKV35"/>
      <c r="BKW35"/>
      <c r="BKX35"/>
      <c r="BKY35"/>
      <c r="BKZ35"/>
      <c r="BLA35"/>
      <c r="BLB35"/>
      <c r="BLC35"/>
      <c r="BLD35"/>
      <c r="BLE35"/>
      <c r="BLF35"/>
      <c r="BLG35"/>
      <c r="BLH35"/>
      <c r="BLI35"/>
      <c r="BLJ35"/>
      <c r="BLK35"/>
      <c r="BLL35"/>
      <c r="BLM35"/>
      <c r="BLN35"/>
      <c r="BLO35"/>
      <c r="BLP35"/>
      <c r="BLQ35"/>
      <c r="BLR35"/>
      <c r="BLS35"/>
      <c r="BLT35"/>
      <c r="BLU35"/>
      <c r="BLV35"/>
      <c r="BLW35"/>
      <c r="BLX35"/>
      <c r="BLY35"/>
      <c r="BLZ35"/>
      <c r="BMA35"/>
      <c r="BMB35"/>
      <c r="BMC35"/>
      <c r="BMD35"/>
      <c r="BME35"/>
      <c r="BMF35"/>
      <c r="BMG35"/>
      <c r="BMH35"/>
      <c r="BMI35"/>
      <c r="BMJ35"/>
      <c r="BMK35"/>
      <c r="BML35"/>
      <c r="BMM35"/>
      <c r="BMN35"/>
      <c r="BMO35"/>
      <c r="BMP35"/>
      <c r="BMQ35"/>
      <c r="BMR35"/>
      <c r="BMS35"/>
      <c r="BMT35"/>
      <c r="BMU35"/>
      <c r="BMV35"/>
      <c r="BMW35"/>
      <c r="BMX35"/>
      <c r="BMY35"/>
      <c r="BMZ35"/>
      <c r="BNA35"/>
      <c r="BNB35"/>
      <c r="BNC35"/>
      <c r="BND35"/>
      <c r="BNE35"/>
      <c r="BNF35"/>
      <c r="BNG35"/>
      <c r="BNH35"/>
      <c r="BNI35"/>
      <c r="BNJ35"/>
      <c r="BNK35"/>
      <c r="BNL35"/>
      <c r="BNM35"/>
      <c r="BNN35"/>
      <c r="BNO35"/>
      <c r="BNP35"/>
      <c r="BNQ35"/>
      <c r="BNR35"/>
      <c r="BNS35"/>
      <c r="BNT35"/>
      <c r="BNU35"/>
      <c r="BNV35"/>
      <c r="BNW35"/>
      <c r="BNX35"/>
      <c r="BNY35"/>
      <c r="BNZ35"/>
      <c r="BOA35"/>
      <c r="BOB35"/>
      <c r="BOC35"/>
      <c r="BOD35"/>
      <c r="BOE35"/>
      <c r="BOF35"/>
      <c r="BOG35"/>
      <c r="BOH35"/>
      <c r="BOI35"/>
      <c r="BOJ35"/>
      <c r="BOK35"/>
      <c r="BOL35"/>
      <c r="BOM35"/>
      <c r="BON35"/>
      <c r="BOO35"/>
      <c r="BOP35"/>
      <c r="BOQ35"/>
      <c r="BOR35"/>
      <c r="BOS35"/>
      <c r="BOT35"/>
      <c r="BOU35"/>
      <c r="BOV35"/>
      <c r="BOW35"/>
      <c r="BOX35"/>
      <c r="BOY35"/>
      <c r="BOZ35"/>
      <c r="BPA35"/>
      <c r="BPB35"/>
      <c r="BPC35"/>
      <c r="BPD35"/>
      <c r="BPE35"/>
      <c r="BPF35"/>
      <c r="BPG35"/>
      <c r="BPH35"/>
      <c r="BPI35"/>
      <c r="BPJ35"/>
      <c r="BPK35"/>
      <c r="BPL35"/>
      <c r="BPM35"/>
      <c r="BPN35"/>
      <c r="BPO35"/>
      <c r="BPP35"/>
      <c r="BPQ35"/>
      <c r="BPR35"/>
      <c r="BPS35"/>
      <c r="BPT35"/>
      <c r="BPU35"/>
      <c r="BPV35"/>
      <c r="BPW35"/>
      <c r="BPX35"/>
      <c r="BPY35"/>
      <c r="BPZ35"/>
      <c r="BQA35"/>
      <c r="BQB35"/>
      <c r="BQC35"/>
      <c r="BQD35"/>
      <c r="BQE35"/>
      <c r="BQF35"/>
      <c r="BQG35"/>
      <c r="BQH35"/>
      <c r="BQI35"/>
      <c r="BQJ35"/>
      <c r="BQK35"/>
      <c r="BQL35"/>
      <c r="BQM35"/>
      <c r="BQN35"/>
      <c r="BQO35"/>
      <c r="BQP35"/>
      <c r="BQQ35"/>
      <c r="BQR35"/>
      <c r="BQS35"/>
      <c r="BQT35"/>
      <c r="BQU35"/>
      <c r="BQV35"/>
      <c r="BQW35"/>
      <c r="BQX35"/>
      <c r="BQY35"/>
      <c r="BQZ35"/>
      <c r="BRA35"/>
      <c r="BRB35"/>
      <c r="BRC35"/>
      <c r="BRD35"/>
      <c r="BRE35"/>
      <c r="BRF35"/>
      <c r="BRG35"/>
      <c r="BRH35"/>
      <c r="BRI35"/>
      <c r="BRJ35"/>
      <c r="BRK35"/>
      <c r="BRL35"/>
      <c r="BRM35"/>
      <c r="BRN35"/>
      <c r="BRO35"/>
      <c r="BRP35"/>
      <c r="BRQ35"/>
      <c r="BRR35"/>
      <c r="BRS35"/>
      <c r="BRT35"/>
      <c r="BRU35"/>
      <c r="BRV35"/>
      <c r="BRW35"/>
      <c r="BRX35"/>
      <c r="BRY35"/>
      <c r="BRZ35"/>
      <c r="BSA35"/>
      <c r="BSB35"/>
      <c r="BSC35"/>
      <c r="BSD35"/>
      <c r="BSE35"/>
      <c r="BSF35"/>
      <c r="BSG35"/>
      <c r="BSH35"/>
      <c r="BSI35"/>
      <c r="BSJ35"/>
      <c r="BSK35"/>
      <c r="BSL35"/>
      <c r="BSM35"/>
      <c r="BSN35"/>
      <c r="BSO35"/>
      <c r="BSP35"/>
      <c r="BSQ35"/>
      <c r="BSR35"/>
      <c r="BSS35"/>
      <c r="BST35"/>
      <c r="BSU35"/>
      <c r="BSV35"/>
      <c r="BSW35"/>
      <c r="BSX35"/>
      <c r="BSY35"/>
      <c r="BSZ35"/>
      <c r="BTA35"/>
      <c r="BTB35"/>
      <c r="BTC35"/>
      <c r="BTD35"/>
      <c r="BTE35"/>
      <c r="BTF35"/>
      <c r="BTG35"/>
      <c r="BTH35"/>
      <c r="BTI35"/>
      <c r="BTJ35"/>
      <c r="BTK35"/>
      <c r="BTL35"/>
      <c r="BTM35"/>
      <c r="BTN35"/>
      <c r="BTO35"/>
      <c r="BTP35"/>
      <c r="BTQ35"/>
      <c r="BTR35"/>
      <c r="BTS35"/>
      <c r="BTT35"/>
      <c r="BTU35"/>
      <c r="BTV35"/>
      <c r="BTW35"/>
      <c r="BTX35"/>
      <c r="BTY35"/>
      <c r="BTZ35"/>
      <c r="BUA35"/>
      <c r="BUB35"/>
      <c r="BUC35"/>
      <c r="BUD35"/>
      <c r="BUE35"/>
      <c r="BUF35"/>
      <c r="BUG35"/>
      <c r="BUH35"/>
      <c r="BUI35"/>
      <c r="BUJ35"/>
      <c r="BUK35"/>
      <c r="BUL35"/>
      <c r="BUM35"/>
      <c r="BUN35"/>
      <c r="BUO35"/>
      <c r="BUP35"/>
      <c r="BUQ35"/>
      <c r="BUR35"/>
      <c r="BUS35"/>
      <c r="BUT35"/>
      <c r="BUU35"/>
      <c r="BUV35"/>
      <c r="BUW35"/>
      <c r="BUX35"/>
      <c r="BUY35"/>
      <c r="BUZ35"/>
      <c r="BVA35"/>
      <c r="BVB35"/>
      <c r="BVC35"/>
      <c r="BVD35"/>
      <c r="BVE35"/>
      <c r="BVF35"/>
      <c r="BVG35"/>
      <c r="BVH35"/>
      <c r="BVI35"/>
      <c r="BVJ35"/>
      <c r="BVK35"/>
      <c r="BVL35"/>
      <c r="BVM35"/>
      <c r="BVN35"/>
      <c r="BVO35"/>
      <c r="BVP35"/>
      <c r="BVQ35"/>
      <c r="BVR35"/>
      <c r="BVS35"/>
      <c r="BVT35"/>
      <c r="BVU35"/>
      <c r="BVV35"/>
      <c r="BVW35"/>
      <c r="BVX35"/>
      <c r="BVY35"/>
      <c r="BVZ35"/>
      <c r="BWA35"/>
      <c r="BWB35"/>
      <c r="BWC35"/>
      <c r="BWD35"/>
      <c r="BWE35"/>
      <c r="BWF35"/>
      <c r="BWG35"/>
      <c r="BWH35"/>
      <c r="BWI35"/>
      <c r="BWJ35"/>
      <c r="BWK35"/>
      <c r="BWL35"/>
      <c r="BWM35"/>
      <c r="BWN35"/>
      <c r="BWO35"/>
      <c r="BWP35"/>
      <c r="BWQ35"/>
      <c r="BWR35"/>
      <c r="BWS35"/>
      <c r="BWT35"/>
      <c r="BWU35"/>
      <c r="BWV35"/>
      <c r="BWW35"/>
      <c r="BWX35"/>
      <c r="BWY35"/>
      <c r="BWZ35"/>
      <c r="BXA35"/>
      <c r="BXB35"/>
      <c r="BXC35"/>
      <c r="BXD35"/>
      <c r="BXE35"/>
      <c r="BXF35"/>
      <c r="BXG35"/>
      <c r="BXH35"/>
      <c r="BXI35"/>
      <c r="BXJ35"/>
      <c r="BXK35"/>
      <c r="BXL35"/>
      <c r="BXM35"/>
      <c r="BXN35"/>
      <c r="BXO35"/>
      <c r="BXP35"/>
      <c r="BXQ35"/>
      <c r="BXR35"/>
      <c r="BXS35"/>
      <c r="BXT35"/>
      <c r="BXU35"/>
      <c r="BXV35"/>
      <c r="BXW35"/>
      <c r="BXX35"/>
      <c r="BXY35"/>
      <c r="BXZ35"/>
      <c r="BYA35"/>
      <c r="BYB35"/>
      <c r="BYC35"/>
      <c r="BYD35"/>
      <c r="BYE35"/>
      <c r="BYF35"/>
      <c r="BYG35"/>
    </row>
    <row r="36" spans="1:2009" s="180" customFormat="1" ht="24.95" hidden="1" customHeight="1" thickBot="1" x14ac:dyDescent="0.3">
      <c r="A36" s="181"/>
      <c r="B36" s="177" t="s">
        <v>69</v>
      </c>
      <c r="C36" s="178"/>
      <c r="D36" s="178"/>
      <c r="E36" s="178"/>
      <c r="F36" s="178"/>
      <c r="G36" s="521"/>
      <c r="H36" s="160"/>
      <c r="I36" s="21"/>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79"/>
      <c r="BK36" s="179"/>
      <c r="BL36" s="179"/>
      <c r="BM36" s="179"/>
      <c r="BN36" s="179"/>
      <c r="BO36" s="179"/>
      <c r="BP36" s="179"/>
      <c r="BQ36" s="179"/>
      <c r="BR36" s="179"/>
      <c r="BS36" s="179"/>
      <c r="BT36" s="179"/>
      <c r="BU36" s="179"/>
      <c r="BV36" s="179"/>
      <c r="BW36" s="179"/>
      <c r="BX36" s="179"/>
      <c r="BY36" s="179"/>
      <c r="BZ36" s="179"/>
      <c r="CA36" s="179"/>
      <c r="CB36" s="179"/>
      <c r="CC36" s="179"/>
      <c r="CD36" s="179"/>
      <c r="CE36" s="179"/>
      <c r="CF36" s="179"/>
      <c r="CG36" s="179"/>
      <c r="CH36" s="179"/>
      <c r="CI36" s="179"/>
      <c r="CJ36" s="179"/>
      <c r="CK36" s="179"/>
      <c r="CL36" s="179"/>
      <c r="CM36" s="179"/>
      <c r="CN36" s="179"/>
      <c r="CO36" s="179"/>
      <c r="CP36" s="179"/>
      <c r="CQ36" s="179"/>
      <c r="CR36" s="179"/>
      <c r="CS36" s="179"/>
      <c r="CT36" s="179"/>
      <c r="CU36" s="179"/>
      <c r="CV36" s="179"/>
      <c r="CW36" s="179"/>
      <c r="CX36" s="179"/>
      <c r="CY36" s="179"/>
      <c r="CZ36" s="179"/>
      <c r="DA36" s="179"/>
      <c r="DB36" s="179"/>
      <c r="DC36" s="179"/>
      <c r="DD36" s="179"/>
      <c r="DE36" s="179"/>
      <c r="DF36" s="179"/>
      <c r="DG36" s="179"/>
      <c r="DH36" s="179"/>
      <c r="DI36" s="179"/>
      <c r="DJ36" s="179"/>
      <c r="DK36" s="179"/>
      <c r="DL36" s="179"/>
      <c r="DM36" s="179"/>
      <c r="DN36" s="179"/>
      <c r="DO36" s="179"/>
      <c r="DP36" s="179"/>
      <c r="DQ36" s="179"/>
      <c r="DR36" s="179"/>
      <c r="DS36" s="179"/>
      <c r="DT36" s="179"/>
      <c r="DU36" s="179"/>
      <c r="DV36" s="179"/>
      <c r="DW36" s="179"/>
      <c r="DX36" s="179"/>
      <c r="DY36" s="179"/>
      <c r="DZ36" s="179"/>
      <c r="EA36" s="179"/>
      <c r="EB36" s="179"/>
      <c r="EC36" s="179"/>
      <c r="ED36" s="179"/>
      <c r="EE36" s="179"/>
      <c r="EF36" s="179"/>
      <c r="EG36" s="179"/>
      <c r="EH36" s="179"/>
      <c r="EI36" s="179"/>
      <c r="EJ36" s="179"/>
      <c r="EK36" s="179"/>
      <c r="EL36" s="179"/>
      <c r="EM36" s="179"/>
      <c r="EN36" s="179"/>
      <c r="EO36" s="179"/>
      <c r="EP36" s="179"/>
      <c r="EQ36" s="179"/>
      <c r="ER36" s="179"/>
      <c r="ES36" s="179"/>
      <c r="ET36" s="179"/>
      <c r="EU36" s="179"/>
      <c r="EV36" s="179"/>
      <c r="EW36" s="179"/>
      <c r="EX36" s="179"/>
      <c r="EY36" s="179"/>
      <c r="EZ36" s="179"/>
      <c r="FA36" s="179"/>
      <c r="FB36" s="179"/>
      <c r="FC36" s="179"/>
      <c r="FD36" s="179"/>
      <c r="FE36" s="179"/>
      <c r="FF36" s="179"/>
      <c r="FG36" s="179"/>
      <c r="FH36" s="179"/>
      <c r="FI36" s="179"/>
      <c r="FJ36" s="179"/>
      <c r="FK36" s="179"/>
      <c r="FL36" s="179"/>
      <c r="FM36" s="179"/>
      <c r="FN36" s="179"/>
      <c r="FO36" s="179"/>
      <c r="FP36" s="179"/>
      <c r="FQ36" s="179"/>
      <c r="FR36" s="179"/>
      <c r="FS36" s="179"/>
      <c r="FT36" s="179"/>
      <c r="FU36" s="179"/>
      <c r="FV36" s="179"/>
      <c r="FW36" s="179"/>
      <c r="FX36" s="179"/>
      <c r="FY36" s="179"/>
      <c r="FZ36" s="179"/>
      <c r="GA36" s="179"/>
      <c r="GB36" s="179"/>
      <c r="GC36" s="179"/>
      <c r="GD36" s="179"/>
      <c r="GE36" s="179"/>
      <c r="GF36" s="179"/>
      <c r="GG36" s="179"/>
      <c r="GH36" s="179"/>
      <c r="GI36" s="179"/>
      <c r="GJ36" s="179"/>
      <c r="GK36" s="179"/>
      <c r="GL36" s="179"/>
      <c r="GM36" s="179"/>
      <c r="GN36" s="179"/>
      <c r="GO36" s="179"/>
      <c r="GP36" s="179"/>
      <c r="GQ36" s="179"/>
      <c r="GR36" s="179"/>
      <c r="GS36" s="179"/>
      <c r="GT36" s="179"/>
      <c r="GU36" s="179"/>
      <c r="GV36" s="179"/>
      <c r="GW36" s="179"/>
      <c r="GX36" s="179"/>
      <c r="GY36" s="179"/>
      <c r="GZ36" s="179"/>
      <c r="HA36" s="179"/>
      <c r="HB36" s="179"/>
      <c r="HC36" s="179"/>
      <c r="HD36" s="179"/>
      <c r="HE36" s="179"/>
      <c r="HF36" s="179"/>
      <c r="HG36" s="179"/>
      <c r="HH36" s="179"/>
      <c r="HI36" s="179"/>
      <c r="HJ36" s="179"/>
      <c r="HK36" s="179"/>
      <c r="HL36" s="179"/>
      <c r="HM36" s="179"/>
      <c r="HN36" s="179"/>
      <c r="HO36" s="179"/>
      <c r="HP36" s="179"/>
      <c r="HQ36" s="179"/>
      <c r="HR36" s="179"/>
      <c r="HS36" s="179"/>
      <c r="HT36" s="179"/>
      <c r="HU36" s="179"/>
      <c r="HV36" s="179"/>
      <c r="HW36" s="179"/>
      <c r="HX36" s="179"/>
      <c r="HY36" s="179"/>
      <c r="HZ36" s="179"/>
      <c r="IA36" s="179"/>
      <c r="IB36" s="179"/>
      <c r="IC36" s="179"/>
      <c r="ID36" s="179"/>
      <c r="IE36" s="179"/>
      <c r="IF36" s="179"/>
      <c r="IG36" s="179"/>
      <c r="IH36" s="179"/>
      <c r="II36" s="179"/>
      <c r="IJ36" s="179"/>
      <c r="IK36" s="179"/>
      <c r="IL36" s="179"/>
      <c r="IM36" s="179"/>
      <c r="IN36" s="179"/>
      <c r="IO36" s="179"/>
      <c r="IP36" s="179"/>
      <c r="IQ36" s="179"/>
      <c r="IR36" s="179"/>
      <c r="IS36" s="179"/>
      <c r="IT36" s="179"/>
      <c r="IU36" s="179"/>
      <c r="IV36" s="179"/>
      <c r="IW36" s="179"/>
      <c r="IX36" s="179"/>
      <c r="IY36" s="179"/>
      <c r="IZ36" s="179"/>
      <c r="JA36" s="179"/>
      <c r="JB36" s="179"/>
      <c r="JC36" s="179"/>
      <c r="JD36" s="179"/>
      <c r="JE36" s="179"/>
      <c r="JF36" s="179"/>
      <c r="JG36" s="179"/>
      <c r="JH36" s="179"/>
      <c r="JI36" s="179"/>
      <c r="JJ36" s="179"/>
      <c r="JK36" s="179"/>
      <c r="JL36" s="179"/>
      <c r="JM36" s="179"/>
      <c r="JN36" s="179"/>
      <c r="JO36" s="179"/>
      <c r="JP36" s="179"/>
      <c r="JQ36" s="179"/>
      <c r="JR36" s="179"/>
      <c r="JS36" s="179"/>
      <c r="JT36" s="179"/>
      <c r="JU36" s="179"/>
      <c r="JV36" s="179"/>
      <c r="JW36" s="179"/>
      <c r="JX36" s="179"/>
      <c r="JY36" s="179"/>
      <c r="JZ36" s="179"/>
      <c r="KA36" s="179"/>
      <c r="KB36" s="179"/>
      <c r="KC36" s="179"/>
      <c r="KD36" s="179"/>
      <c r="KE36" s="179"/>
      <c r="KF36" s="179"/>
      <c r="KG36" s="179"/>
      <c r="KH36" s="179"/>
      <c r="KI36" s="179"/>
      <c r="KJ36" s="179"/>
      <c r="KK36" s="179"/>
      <c r="KL36" s="179"/>
      <c r="KM36" s="179"/>
      <c r="KN36" s="179"/>
      <c r="KO36" s="179"/>
      <c r="KP36" s="179"/>
      <c r="KQ36" s="179"/>
      <c r="KR36" s="179"/>
      <c r="KS36" s="179"/>
      <c r="KT36" s="179"/>
      <c r="KU36" s="179"/>
      <c r="KV36" s="179"/>
      <c r="KW36" s="179"/>
      <c r="KX36" s="179"/>
      <c r="KY36" s="179"/>
      <c r="KZ36" s="179"/>
      <c r="LA36" s="179"/>
      <c r="LB36" s="179"/>
      <c r="LC36" s="179"/>
      <c r="LD36" s="179"/>
      <c r="LE36" s="179"/>
      <c r="LF36" s="179"/>
      <c r="LG36" s="179"/>
      <c r="LH36" s="179"/>
      <c r="LI36" s="179"/>
      <c r="LJ36" s="179"/>
      <c r="LK36" s="179"/>
      <c r="LL36" s="179"/>
      <c r="LM36" s="179"/>
      <c r="LN36" s="179"/>
      <c r="LO36" s="179"/>
      <c r="LP36" s="179"/>
      <c r="LQ36" s="179"/>
      <c r="LR36" s="179"/>
      <c r="LS36" s="179"/>
      <c r="LT36" s="179"/>
      <c r="LU36" s="179"/>
      <c r="LV36" s="179"/>
      <c r="LW36" s="179"/>
      <c r="LX36" s="179"/>
      <c r="LY36" s="179"/>
      <c r="LZ36" s="179"/>
      <c r="MA36" s="179"/>
      <c r="MB36" s="179"/>
      <c r="MC36" s="179"/>
      <c r="MD36" s="179"/>
      <c r="ME36" s="179"/>
      <c r="MF36" s="179"/>
      <c r="MG36" s="179"/>
      <c r="MH36" s="179"/>
      <c r="MI36" s="179"/>
      <c r="MJ36" s="179"/>
      <c r="MK36" s="179"/>
      <c r="ML36" s="179"/>
      <c r="MM36" s="179"/>
      <c r="MN36" s="179"/>
      <c r="MO36" s="179"/>
      <c r="MP36" s="179"/>
      <c r="MQ36" s="179"/>
      <c r="MR36" s="179"/>
      <c r="MS36" s="179"/>
      <c r="MT36" s="179"/>
      <c r="MU36" s="179"/>
      <c r="MV36" s="179"/>
      <c r="MW36" s="179"/>
      <c r="MX36" s="179"/>
      <c r="MY36" s="179"/>
      <c r="MZ36" s="179"/>
      <c r="NA36" s="179"/>
      <c r="NB36" s="179"/>
      <c r="NC36" s="179"/>
      <c r="ND36" s="179"/>
      <c r="NE36" s="179"/>
      <c r="NF36" s="179"/>
      <c r="NG36" s="179"/>
      <c r="NH36" s="179"/>
      <c r="NI36" s="179"/>
      <c r="NJ36" s="179"/>
      <c r="NK36" s="179"/>
      <c r="NL36" s="179"/>
      <c r="NM36" s="179"/>
      <c r="NN36" s="179"/>
      <c r="NO36" s="179"/>
      <c r="NP36" s="179"/>
      <c r="NQ36" s="179"/>
      <c r="NR36" s="179"/>
      <c r="NS36" s="179"/>
      <c r="NT36" s="179"/>
      <c r="NU36" s="179"/>
      <c r="NV36" s="179"/>
      <c r="NW36" s="179"/>
      <c r="NX36" s="179"/>
      <c r="NY36" s="179"/>
      <c r="NZ36" s="179"/>
      <c r="OA36" s="179"/>
      <c r="OB36" s="179"/>
      <c r="OC36" s="179"/>
      <c r="OD36" s="179"/>
      <c r="OE36" s="179"/>
      <c r="OF36" s="179"/>
      <c r="OG36" s="179"/>
      <c r="OH36" s="179"/>
      <c r="OI36" s="179"/>
      <c r="OJ36" s="179"/>
      <c r="OK36" s="179"/>
      <c r="OL36" s="179"/>
      <c r="OM36" s="179"/>
      <c r="ON36" s="179"/>
      <c r="OO36" s="179"/>
      <c r="OP36" s="179"/>
      <c r="OQ36" s="179"/>
      <c r="OR36" s="179"/>
      <c r="OS36" s="179"/>
      <c r="OT36" s="179"/>
      <c r="OU36" s="179"/>
      <c r="OV36" s="179"/>
      <c r="OW36" s="179"/>
      <c r="OX36" s="179"/>
      <c r="OY36" s="179"/>
      <c r="OZ36" s="179"/>
      <c r="PA36" s="179"/>
      <c r="PB36" s="179"/>
      <c r="PC36" s="179"/>
      <c r="PD36" s="179"/>
      <c r="PE36" s="179"/>
      <c r="PF36" s="179"/>
      <c r="PG36" s="179"/>
      <c r="PH36" s="179"/>
      <c r="PI36" s="179"/>
      <c r="PJ36" s="179"/>
      <c r="PK36" s="179"/>
      <c r="PL36" s="179"/>
      <c r="PM36" s="179"/>
      <c r="PN36" s="179"/>
      <c r="PO36" s="179"/>
      <c r="PP36" s="179"/>
      <c r="PQ36" s="179"/>
      <c r="PR36" s="179"/>
      <c r="PS36" s="179"/>
      <c r="PT36" s="179"/>
      <c r="PU36" s="179"/>
      <c r="PV36" s="179"/>
      <c r="PW36" s="179"/>
      <c r="PX36" s="179"/>
      <c r="PY36" s="179"/>
      <c r="PZ36" s="179"/>
      <c r="QA36" s="179"/>
      <c r="QB36" s="179"/>
      <c r="QC36" s="179"/>
      <c r="QD36" s="179"/>
      <c r="QE36" s="179"/>
      <c r="QF36" s="179"/>
      <c r="QG36" s="179"/>
      <c r="QH36" s="179"/>
      <c r="QI36" s="179"/>
      <c r="QJ36" s="179"/>
      <c r="QK36" s="179"/>
      <c r="QL36" s="179"/>
      <c r="QM36" s="179"/>
      <c r="QN36" s="179"/>
      <c r="QO36" s="179"/>
      <c r="QP36" s="179"/>
      <c r="QQ36" s="179"/>
      <c r="QR36" s="179"/>
      <c r="QS36" s="179"/>
      <c r="QT36" s="179"/>
      <c r="QU36" s="179"/>
      <c r="QV36" s="179"/>
      <c r="QW36" s="179"/>
      <c r="QX36" s="179"/>
      <c r="QY36" s="179"/>
      <c r="QZ36" s="179"/>
      <c r="RA36" s="179"/>
      <c r="RB36" s="179"/>
      <c r="RC36" s="179"/>
      <c r="RD36" s="179"/>
      <c r="RE36" s="179"/>
      <c r="RF36" s="179"/>
      <c r="RG36" s="179"/>
      <c r="RH36" s="179"/>
      <c r="RI36" s="179"/>
      <c r="RJ36" s="179"/>
      <c r="RK36" s="179"/>
      <c r="RL36" s="179"/>
      <c r="RM36" s="179"/>
      <c r="RN36" s="179"/>
      <c r="RO36" s="179"/>
      <c r="RP36" s="179"/>
      <c r="RQ36" s="179"/>
      <c r="RR36" s="179"/>
      <c r="RS36" s="179"/>
      <c r="RT36" s="179"/>
      <c r="RU36" s="179"/>
      <c r="RV36" s="179"/>
      <c r="RW36" s="179"/>
      <c r="RX36" s="179"/>
      <c r="RY36" s="179"/>
      <c r="RZ36" s="179"/>
      <c r="SA36" s="179"/>
      <c r="SB36" s="179"/>
      <c r="SC36" s="179"/>
      <c r="SD36" s="179"/>
      <c r="SE36" s="179"/>
      <c r="SF36" s="179"/>
      <c r="SG36" s="179"/>
      <c r="SH36" s="179"/>
      <c r="SI36" s="179"/>
      <c r="SJ36" s="179"/>
      <c r="SK36" s="179"/>
      <c r="SL36" s="179"/>
      <c r="SM36" s="179"/>
      <c r="SN36" s="179"/>
      <c r="SO36" s="179"/>
      <c r="SP36" s="179"/>
      <c r="SQ36" s="179"/>
      <c r="SR36" s="179"/>
      <c r="SS36" s="179"/>
      <c r="ST36" s="179"/>
      <c r="SU36" s="179"/>
      <c r="SV36" s="179"/>
      <c r="SW36" s="179"/>
      <c r="SX36" s="179"/>
      <c r="SY36" s="179"/>
      <c r="SZ36" s="179"/>
      <c r="TA36" s="179"/>
      <c r="TB36" s="179"/>
      <c r="TC36" s="179"/>
      <c r="TD36" s="179"/>
      <c r="TE36" s="179"/>
      <c r="TF36" s="179"/>
      <c r="TG36" s="179"/>
      <c r="TH36" s="179"/>
      <c r="TI36" s="179"/>
      <c r="TJ36" s="179"/>
      <c r="TK36" s="179"/>
      <c r="TL36" s="179"/>
      <c r="TM36" s="179"/>
      <c r="TN36" s="179"/>
      <c r="TO36" s="179"/>
      <c r="TP36" s="179"/>
      <c r="TQ36" s="179"/>
      <c r="TR36" s="179"/>
      <c r="TS36" s="179"/>
      <c r="TT36" s="179"/>
      <c r="TU36" s="179"/>
      <c r="TV36" s="179"/>
      <c r="TW36" s="179"/>
      <c r="TX36" s="179"/>
      <c r="TY36" s="179"/>
      <c r="TZ36" s="179"/>
      <c r="UA36" s="179"/>
      <c r="UB36" s="179"/>
      <c r="UC36" s="179"/>
      <c r="UD36" s="179"/>
      <c r="UE36" s="179"/>
      <c r="UF36" s="179"/>
      <c r="UG36" s="179"/>
      <c r="UH36" s="179"/>
      <c r="UI36" s="179"/>
      <c r="UJ36" s="179"/>
      <c r="UK36" s="179"/>
      <c r="UL36" s="179"/>
      <c r="UM36" s="179"/>
      <c r="UN36" s="179"/>
      <c r="UO36" s="179"/>
      <c r="UP36" s="179"/>
      <c r="UQ36" s="179"/>
      <c r="UR36" s="179"/>
      <c r="US36" s="179"/>
      <c r="UT36" s="179"/>
      <c r="UU36" s="179"/>
      <c r="UV36" s="179"/>
      <c r="UW36" s="179"/>
      <c r="UX36" s="179"/>
      <c r="UY36" s="179"/>
      <c r="UZ36" s="179"/>
      <c r="VA36" s="179"/>
      <c r="VB36" s="179"/>
      <c r="VC36" s="179"/>
      <c r="VD36" s="179"/>
      <c r="VE36" s="179"/>
      <c r="VF36" s="179"/>
      <c r="VG36" s="179"/>
      <c r="VH36" s="179"/>
      <c r="VI36" s="179"/>
      <c r="VJ36" s="179"/>
      <c r="VK36" s="179"/>
      <c r="VL36" s="179"/>
      <c r="VM36" s="179"/>
      <c r="VN36" s="179"/>
      <c r="VO36" s="179"/>
      <c r="VP36" s="179"/>
      <c r="VQ36" s="179"/>
      <c r="VR36" s="179"/>
      <c r="VS36" s="179"/>
      <c r="VT36" s="179"/>
      <c r="VU36" s="179"/>
      <c r="VV36" s="179"/>
      <c r="VW36" s="179"/>
      <c r="VX36" s="179"/>
      <c r="VY36" s="179"/>
      <c r="VZ36" s="179"/>
      <c r="WA36" s="179"/>
      <c r="WB36" s="179"/>
      <c r="WC36" s="179"/>
      <c r="WD36" s="179"/>
      <c r="WE36" s="179"/>
      <c r="WF36" s="179"/>
      <c r="WG36" s="179"/>
      <c r="WH36" s="179"/>
      <c r="WI36" s="179"/>
      <c r="WJ36" s="179"/>
      <c r="WK36" s="179"/>
      <c r="WL36" s="179"/>
      <c r="WM36" s="179"/>
      <c r="WN36" s="179"/>
      <c r="WO36" s="179"/>
      <c r="WP36" s="179"/>
      <c r="WQ36" s="179"/>
      <c r="WR36" s="179"/>
      <c r="WS36" s="179"/>
      <c r="WT36" s="179"/>
      <c r="WU36" s="179"/>
      <c r="WV36" s="179"/>
      <c r="WW36" s="179"/>
      <c r="WX36" s="179"/>
      <c r="WY36" s="179"/>
      <c r="WZ36" s="179"/>
      <c r="XA36" s="179"/>
      <c r="XB36" s="179"/>
      <c r="XC36" s="179"/>
      <c r="XD36" s="179"/>
      <c r="XE36" s="179"/>
      <c r="XF36" s="179"/>
      <c r="XG36" s="179"/>
      <c r="XH36" s="179"/>
      <c r="XI36" s="179"/>
      <c r="XJ36" s="179"/>
      <c r="XK36" s="179"/>
      <c r="XL36" s="179"/>
      <c r="XM36" s="179"/>
      <c r="XN36" s="179"/>
      <c r="XO36" s="179"/>
      <c r="XP36" s="179"/>
      <c r="XQ36" s="179"/>
      <c r="XR36" s="179"/>
      <c r="XS36" s="179"/>
      <c r="XT36" s="179"/>
      <c r="XU36" s="179"/>
      <c r="XV36" s="179"/>
      <c r="XW36" s="179"/>
      <c r="XX36" s="179"/>
      <c r="XY36" s="179"/>
      <c r="XZ36" s="179"/>
      <c r="YA36" s="179"/>
      <c r="YB36" s="179"/>
      <c r="YC36" s="179"/>
      <c r="YD36" s="179"/>
      <c r="YE36" s="179"/>
      <c r="YF36" s="179"/>
      <c r="YG36" s="179"/>
      <c r="YH36" s="179"/>
      <c r="YI36" s="179"/>
      <c r="YJ36" s="179"/>
      <c r="YK36" s="179"/>
      <c r="YL36" s="179"/>
      <c r="YM36" s="179"/>
      <c r="YN36" s="179"/>
      <c r="YO36" s="179"/>
      <c r="YP36" s="179"/>
      <c r="YQ36" s="179"/>
      <c r="YR36" s="179"/>
      <c r="YS36" s="179"/>
      <c r="YT36" s="179"/>
      <c r="YU36" s="179"/>
      <c r="YV36" s="179"/>
      <c r="YW36" s="179"/>
      <c r="YX36" s="179"/>
      <c r="YY36" s="179"/>
      <c r="YZ36" s="179"/>
      <c r="ZA36" s="179"/>
      <c r="ZB36" s="179"/>
      <c r="ZC36" s="179"/>
      <c r="ZD36" s="179"/>
      <c r="ZE36" s="179"/>
      <c r="ZF36" s="179"/>
      <c r="ZG36" s="179"/>
      <c r="ZH36" s="179"/>
      <c r="ZI36" s="179"/>
      <c r="ZJ36" s="179"/>
      <c r="ZK36" s="179"/>
      <c r="ZL36" s="179"/>
      <c r="ZM36" s="179"/>
      <c r="ZN36" s="179"/>
      <c r="ZO36" s="179"/>
      <c r="ZP36" s="179"/>
      <c r="ZQ36" s="179"/>
      <c r="ZR36" s="179"/>
      <c r="ZS36" s="179"/>
      <c r="ZT36" s="179"/>
      <c r="ZU36" s="179"/>
      <c r="ZV36" s="179"/>
      <c r="ZW36" s="179"/>
      <c r="ZX36" s="179"/>
      <c r="ZY36" s="179"/>
      <c r="ZZ36" s="179"/>
      <c r="AAA36" s="179"/>
      <c r="AAB36" s="179"/>
      <c r="AAC36" s="179"/>
      <c r="AAD36" s="179"/>
      <c r="AAE36" s="179"/>
      <c r="AAF36" s="179"/>
      <c r="AAG36" s="179"/>
      <c r="AAH36" s="179"/>
      <c r="AAI36" s="179"/>
      <c r="AAJ36" s="179"/>
      <c r="AAK36" s="179"/>
      <c r="AAL36" s="179"/>
      <c r="AAM36" s="179"/>
      <c r="AAN36" s="179"/>
      <c r="AAO36" s="179"/>
      <c r="AAP36" s="179"/>
      <c r="AAQ36" s="179"/>
      <c r="AAR36" s="179"/>
      <c r="AAS36" s="179"/>
      <c r="AAT36" s="179"/>
      <c r="AAU36" s="179"/>
      <c r="AAV36" s="179"/>
      <c r="AAW36" s="179"/>
      <c r="AAX36" s="179"/>
      <c r="AAY36" s="179"/>
      <c r="AAZ36" s="179"/>
      <c r="ABA36" s="179"/>
      <c r="ABB36" s="179"/>
      <c r="ABC36" s="179"/>
      <c r="ABD36" s="179"/>
      <c r="ABE36" s="179"/>
      <c r="ABF36" s="179"/>
      <c r="ABG36" s="179"/>
      <c r="ABH36" s="179"/>
      <c r="ABI36" s="179"/>
      <c r="ABJ36" s="179"/>
      <c r="ABK36" s="179"/>
      <c r="ABL36" s="179"/>
      <c r="ABM36" s="179"/>
      <c r="ABN36" s="179"/>
      <c r="ABO36" s="179"/>
      <c r="ABP36" s="179"/>
      <c r="ABQ36" s="179"/>
      <c r="ABR36" s="179"/>
      <c r="ABS36" s="179"/>
      <c r="ABT36" s="179"/>
      <c r="ABU36" s="179"/>
      <c r="ABV36" s="179"/>
      <c r="ABW36" s="179"/>
      <c r="ABX36" s="179"/>
      <c r="ABY36" s="179"/>
      <c r="ABZ36" s="179"/>
      <c r="ACA36" s="179"/>
      <c r="ACB36" s="179"/>
      <c r="ACC36" s="179"/>
      <c r="ACD36" s="179"/>
      <c r="ACE36" s="179"/>
      <c r="ACF36" s="179"/>
      <c r="ACG36" s="179"/>
      <c r="ACH36" s="179"/>
      <c r="ACI36" s="179"/>
      <c r="ACJ36" s="179"/>
      <c r="ACK36" s="179"/>
      <c r="ACL36" s="179"/>
      <c r="ACM36" s="179"/>
      <c r="ACN36" s="179"/>
      <c r="ACO36" s="179"/>
      <c r="ACP36" s="179"/>
      <c r="ACQ36" s="179"/>
      <c r="ACR36" s="179"/>
      <c r="ACS36" s="179"/>
      <c r="ACT36" s="179"/>
      <c r="ACU36" s="179"/>
      <c r="ACV36" s="179"/>
      <c r="ACW36" s="179"/>
      <c r="ACX36" s="179"/>
      <c r="ACY36" s="179"/>
      <c r="ACZ36" s="179"/>
      <c r="ADA36" s="179"/>
      <c r="ADB36" s="179"/>
      <c r="ADC36" s="179"/>
      <c r="ADD36" s="179"/>
      <c r="ADE36" s="179"/>
      <c r="ADF36" s="179"/>
      <c r="ADG36" s="179"/>
      <c r="ADH36" s="179"/>
      <c r="ADI36" s="179"/>
      <c r="ADJ36" s="179"/>
      <c r="ADK36" s="179"/>
      <c r="ADL36" s="179"/>
      <c r="ADM36" s="179"/>
      <c r="ADN36" s="179"/>
      <c r="ADO36" s="179"/>
      <c r="ADP36" s="179"/>
      <c r="ADQ36" s="179"/>
      <c r="ADR36" s="179"/>
      <c r="ADS36" s="179"/>
      <c r="ADT36" s="179"/>
      <c r="ADU36" s="179"/>
      <c r="ADV36" s="179"/>
      <c r="ADW36" s="179"/>
      <c r="ADX36" s="179"/>
      <c r="ADY36" s="179"/>
      <c r="ADZ36" s="179"/>
      <c r="AEA36" s="179"/>
      <c r="AEB36" s="179"/>
      <c r="AEC36" s="179"/>
      <c r="AED36" s="179"/>
      <c r="AEE36" s="179"/>
      <c r="AEF36" s="179"/>
      <c r="AEG36" s="179"/>
      <c r="AEH36" s="179"/>
      <c r="AEI36" s="179"/>
      <c r="AEJ36" s="179"/>
      <c r="AEK36" s="179"/>
      <c r="AEL36" s="179"/>
      <c r="AEM36" s="179"/>
      <c r="AEN36" s="179"/>
      <c r="AEO36" s="179"/>
      <c r="AEP36" s="179"/>
      <c r="AEQ36" s="179"/>
      <c r="AER36" s="179"/>
      <c r="AES36" s="179"/>
      <c r="AET36" s="179"/>
      <c r="AEU36" s="179"/>
      <c r="AEV36" s="179"/>
      <c r="AEW36" s="179"/>
      <c r="AEX36" s="179"/>
      <c r="AEY36" s="179"/>
      <c r="AEZ36" s="179"/>
      <c r="AFA36" s="179"/>
      <c r="AFB36" s="179"/>
      <c r="AFC36" s="179"/>
      <c r="AFD36" s="179"/>
      <c r="AFE36" s="179"/>
      <c r="AFF36" s="179"/>
      <c r="AFG36" s="179"/>
      <c r="AFH36" s="179"/>
      <c r="AFI36" s="179"/>
      <c r="AFJ36" s="179"/>
      <c r="AFK36" s="179"/>
      <c r="AFL36" s="179"/>
      <c r="AFM36" s="179"/>
      <c r="AFN36" s="179"/>
      <c r="AFO36" s="179"/>
      <c r="AFP36" s="179"/>
      <c r="AFQ36" s="179"/>
      <c r="AFR36" s="179"/>
      <c r="AFS36" s="179"/>
      <c r="AFT36" s="179"/>
      <c r="AFU36" s="179"/>
      <c r="AFV36" s="179"/>
      <c r="AFW36" s="179"/>
      <c r="AFX36" s="179"/>
      <c r="AFY36" s="179"/>
      <c r="AFZ36" s="179"/>
      <c r="AGA36" s="179"/>
      <c r="AGB36" s="179"/>
      <c r="AGC36" s="179"/>
      <c r="AGD36" s="179"/>
      <c r="AGE36" s="179"/>
      <c r="AGF36" s="179"/>
      <c r="AGG36" s="179"/>
      <c r="AGH36" s="179"/>
      <c r="AGI36" s="179"/>
      <c r="AGJ36" s="179"/>
      <c r="AGK36" s="179"/>
      <c r="AGL36" s="179"/>
      <c r="AGM36" s="179"/>
      <c r="AGN36" s="179"/>
      <c r="AGO36" s="179"/>
      <c r="AGP36" s="179"/>
      <c r="AGQ36" s="179"/>
      <c r="AGR36" s="179"/>
      <c r="AGS36" s="179"/>
      <c r="AGT36" s="179"/>
      <c r="AGU36" s="179"/>
      <c r="AGV36" s="179"/>
      <c r="AGW36" s="179"/>
      <c r="AGX36" s="179"/>
      <c r="AGY36" s="179"/>
      <c r="AGZ36" s="179"/>
      <c r="AHA36" s="179"/>
      <c r="AHB36" s="179"/>
      <c r="AHC36" s="179"/>
      <c r="AHD36" s="179"/>
      <c r="AHE36" s="179"/>
      <c r="AHF36" s="179"/>
      <c r="AHG36" s="179"/>
      <c r="AHH36" s="179"/>
      <c r="AHI36" s="179"/>
      <c r="AHJ36" s="179"/>
      <c r="AHK36" s="179"/>
      <c r="AHL36" s="179"/>
      <c r="AHM36" s="179"/>
      <c r="AHN36" s="179"/>
      <c r="AHO36" s="179"/>
      <c r="AHP36" s="179"/>
      <c r="AHQ36" s="179"/>
      <c r="AHR36" s="179"/>
      <c r="AHS36" s="179"/>
      <c r="AHT36" s="179"/>
      <c r="AHU36" s="179"/>
      <c r="AHV36" s="179"/>
      <c r="AHW36" s="179"/>
      <c r="AHX36" s="179"/>
      <c r="AHY36" s="179"/>
      <c r="AHZ36" s="179"/>
      <c r="AIA36" s="179"/>
      <c r="AIB36" s="179"/>
      <c r="AIC36" s="179"/>
      <c r="AID36" s="179"/>
      <c r="AIE36" s="179"/>
      <c r="AIF36" s="179"/>
      <c r="AIG36" s="179"/>
      <c r="AIH36" s="179"/>
      <c r="AII36" s="179"/>
      <c r="AIJ36" s="179"/>
      <c r="AIK36" s="179"/>
      <c r="AIL36" s="179"/>
      <c r="AIM36" s="179"/>
      <c r="AIN36" s="179"/>
      <c r="AIO36" s="179"/>
      <c r="AIP36" s="179"/>
      <c r="AIQ36" s="179"/>
      <c r="AIR36" s="179"/>
      <c r="AIS36" s="179"/>
      <c r="AIT36" s="179"/>
      <c r="AIU36" s="179"/>
      <c r="AIV36" s="179"/>
      <c r="AIW36" s="179"/>
      <c r="AIX36" s="179"/>
      <c r="AIY36" s="179"/>
      <c r="AIZ36" s="179"/>
      <c r="AJA36" s="179"/>
      <c r="AJB36" s="179"/>
      <c r="AJC36" s="179"/>
      <c r="AJD36" s="179"/>
      <c r="AJE36" s="179"/>
      <c r="AJF36" s="179"/>
      <c r="AJG36" s="179"/>
      <c r="AJH36" s="179"/>
      <c r="AJI36" s="179"/>
      <c r="AJJ36" s="179"/>
      <c r="AJK36" s="179"/>
      <c r="AJL36" s="179"/>
      <c r="AJM36" s="179"/>
      <c r="AJN36" s="179"/>
      <c r="AJO36" s="179"/>
      <c r="AJP36" s="179"/>
      <c r="AJQ36" s="179"/>
      <c r="AJR36" s="179"/>
      <c r="AJS36" s="179"/>
      <c r="AJT36" s="179"/>
      <c r="AJU36" s="179"/>
      <c r="AJV36" s="179"/>
      <c r="AJW36" s="179"/>
      <c r="AJX36" s="179"/>
      <c r="AJY36" s="179"/>
      <c r="AJZ36" s="179"/>
      <c r="AKA36" s="179"/>
      <c r="AKB36" s="179"/>
      <c r="AKC36" s="179"/>
      <c r="AKD36" s="179"/>
      <c r="AKE36" s="179"/>
      <c r="AKF36" s="179"/>
      <c r="AKG36" s="179"/>
      <c r="AKH36" s="179"/>
      <c r="AKI36" s="179"/>
      <c r="AKJ36" s="179"/>
      <c r="AKK36" s="179"/>
      <c r="AKL36" s="179"/>
      <c r="AKM36" s="179"/>
      <c r="AKN36" s="179"/>
      <c r="AKO36" s="179"/>
      <c r="AKP36" s="179"/>
      <c r="AKQ36" s="179"/>
      <c r="AKR36" s="179"/>
      <c r="AKS36" s="179"/>
      <c r="AKT36" s="179"/>
      <c r="AKU36" s="179"/>
      <c r="AKV36" s="179"/>
      <c r="AKW36" s="179"/>
      <c r="AKX36" s="179"/>
      <c r="AKY36" s="179"/>
      <c r="AKZ36" s="179"/>
      <c r="ALA36" s="179"/>
      <c r="ALB36" s="179"/>
      <c r="ALC36" s="179"/>
      <c r="ALD36" s="179"/>
      <c r="ALE36" s="179"/>
      <c r="ALF36" s="179"/>
      <c r="ALG36" s="179"/>
      <c r="ALH36" s="179"/>
      <c r="ALI36" s="179"/>
      <c r="ALJ36" s="179"/>
      <c r="ALK36" s="179"/>
      <c r="ALL36" s="179"/>
      <c r="ALM36" s="179"/>
      <c r="ALN36" s="179"/>
      <c r="ALO36" s="179"/>
      <c r="ALP36" s="179"/>
      <c r="ALQ36" s="179"/>
      <c r="ALR36" s="179"/>
      <c r="ALS36" s="179"/>
      <c r="ALT36" s="179"/>
      <c r="ALU36" s="179"/>
      <c r="ALV36" s="179"/>
      <c r="ALW36" s="179"/>
      <c r="ALX36" s="179"/>
      <c r="ALY36" s="179"/>
      <c r="ALZ36" s="179"/>
      <c r="AMA36" s="179"/>
      <c r="AMB36" s="179"/>
      <c r="AMC36" s="179"/>
      <c r="AMD36" s="179"/>
      <c r="AME36" s="179"/>
      <c r="AMF36" s="179"/>
      <c r="AMG36" s="179"/>
      <c r="AMH36" s="179"/>
      <c r="AMI36" s="179"/>
      <c r="AMJ36" s="179"/>
      <c r="AMK36" s="179"/>
      <c r="AML36" s="179"/>
      <c r="AMM36" s="179"/>
      <c r="AMN36" s="179"/>
      <c r="AMO36" s="179"/>
      <c r="AMP36" s="179"/>
      <c r="AMQ36" s="179"/>
      <c r="AMR36" s="179"/>
      <c r="AMS36" s="179"/>
      <c r="AMT36" s="179"/>
      <c r="AMU36" s="179"/>
      <c r="AMV36" s="179"/>
      <c r="AMW36" s="179"/>
      <c r="AMX36" s="179"/>
      <c r="AMY36" s="179"/>
      <c r="AMZ36" s="179"/>
      <c r="ANA36" s="179"/>
      <c r="ANB36" s="179"/>
      <c r="ANC36" s="179"/>
      <c r="AND36" s="179"/>
      <c r="ANE36" s="179"/>
      <c r="ANF36" s="179"/>
      <c r="ANG36" s="179"/>
      <c r="ANH36" s="179"/>
      <c r="ANI36" s="179"/>
      <c r="ANJ36" s="179"/>
      <c r="ANK36" s="179"/>
      <c r="ANL36" s="179"/>
      <c r="ANM36" s="179"/>
      <c r="ANN36" s="179"/>
      <c r="ANO36" s="179"/>
      <c r="ANP36" s="179"/>
      <c r="ANQ36" s="179"/>
      <c r="ANR36" s="179"/>
      <c r="ANS36" s="179"/>
      <c r="ANT36" s="179"/>
      <c r="ANU36" s="179"/>
      <c r="ANV36" s="179"/>
      <c r="ANW36" s="179"/>
      <c r="ANX36" s="179"/>
      <c r="ANY36" s="179"/>
      <c r="ANZ36" s="179"/>
      <c r="AOA36" s="179"/>
      <c r="AOB36" s="179"/>
      <c r="AOC36" s="179"/>
      <c r="AOD36" s="179"/>
      <c r="AOE36" s="179"/>
      <c r="AOF36" s="179"/>
      <c r="AOG36" s="179"/>
      <c r="AOH36" s="179"/>
      <c r="AOI36" s="179"/>
      <c r="AOJ36" s="179"/>
      <c r="AOK36" s="179"/>
      <c r="AOL36" s="179"/>
      <c r="AOM36" s="179"/>
      <c r="AON36" s="179"/>
      <c r="AOO36" s="179"/>
      <c r="AOP36" s="179"/>
      <c r="AOQ36" s="179"/>
      <c r="AOR36" s="179"/>
      <c r="AOS36" s="179"/>
      <c r="AOT36" s="179"/>
      <c r="AOU36" s="179"/>
      <c r="AOV36" s="179"/>
      <c r="AOW36" s="179"/>
      <c r="AOX36" s="179"/>
      <c r="AOY36" s="179"/>
      <c r="AOZ36" s="179"/>
      <c r="APA36" s="179"/>
      <c r="APB36" s="179"/>
      <c r="APC36" s="179"/>
      <c r="APD36" s="179"/>
      <c r="APE36" s="179"/>
      <c r="APF36" s="179"/>
      <c r="APG36" s="179"/>
      <c r="APH36" s="179"/>
      <c r="API36" s="179"/>
      <c r="APJ36" s="179"/>
      <c r="APK36" s="179"/>
      <c r="APL36" s="179"/>
      <c r="APM36" s="179"/>
      <c r="APN36" s="179"/>
      <c r="APO36" s="179"/>
      <c r="APP36" s="179"/>
      <c r="APQ36" s="179"/>
      <c r="APR36" s="179"/>
      <c r="APS36" s="179"/>
      <c r="APT36" s="179"/>
      <c r="APU36" s="179"/>
      <c r="APV36" s="179"/>
      <c r="APW36" s="179"/>
      <c r="APX36" s="179"/>
      <c r="APY36" s="179"/>
      <c r="APZ36" s="179"/>
      <c r="AQA36" s="179"/>
      <c r="AQB36" s="179"/>
      <c r="AQC36" s="179"/>
      <c r="AQD36" s="179"/>
      <c r="AQE36" s="179"/>
      <c r="AQF36" s="179"/>
      <c r="AQG36" s="179"/>
      <c r="AQH36" s="179"/>
      <c r="AQI36" s="179"/>
      <c r="AQJ36" s="179"/>
      <c r="AQK36" s="179"/>
      <c r="AQL36" s="179"/>
      <c r="AQM36" s="179"/>
      <c r="AQN36" s="179"/>
      <c r="AQO36" s="179"/>
      <c r="AQP36" s="179"/>
      <c r="AQQ36" s="179"/>
      <c r="AQR36" s="179"/>
      <c r="AQS36" s="179"/>
      <c r="AQT36" s="179"/>
      <c r="AQU36" s="179"/>
      <c r="AQV36" s="179"/>
      <c r="AQW36" s="179"/>
      <c r="AQX36" s="179"/>
      <c r="AQY36" s="179"/>
      <c r="AQZ36" s="179"/>
      <c r="ARA36" s="179"/>
      <c r="ARB36" s="179"/>
      <c r="ARC36" s="179"/>
      <c r="ARD36" s="179"/>
      <c r="ARE36" s="179"/>
      <c r="ARF36" s="179"/>
      <c r="ARG36" s="179"/>
      <c r="ARH36" s="179"/>
      <c r="ARI36" s="179"/>
      <c r="ARJ36" s="179"/>
      <c r="ARK36" s="179"/>
      <c r="ARL36" s="179"/>
      <c r="ARM36" s="179"/>
      <c r="ARN36" s="179"/>
      <c r="ARO36" s="179"/>
      <c r="ARP36" s="179"/>
      <c r="ARQ36" s="179"/>
      <c r="ARR36" s="179"/>
      <c r="ARS36" s="179"/>
      <c r="ART36" s="179"/>
      <c r="ARU36" s="179"/>
      <c r="ARV36" s="179"/>
      <c r="ARW36" s="179"/>
      <c r="ARX36" s="179"/>
      <c r="ARY36" s="179"/>
      <c r="ARZ36" s="179"/>
      <c r="ASA36" s="179"/>
      <c r="ASB36" s="179"/>
      <c r="ASC36" s="179"/>
      <c r="ASD36" s="179"/>
      <c r="ASE36" s="179"/>
      <c r="ASF36" s="179"/>
      <c r="ASG36" s="179"/>
      <c r="ASH36" s="179"/>
      <c r="ASI36" s="179"/>
      <c r="ASJ36" s="179"/>
      <c r="ASK36" s="179"/>
      <c r="ASL36" s="179"/>
      <c r="ASM36" s="179"/>
      <c r="ASN36" s="179"/>
      <c r="ASO36" s="179"/>
      <c r="ASP36" s="179"/>
      <c r="ASQ36" s="179"/>
      <c r="ASR36" s="179"/>
      <c r="ASS36" s="179"/>
      <c r="AST36" s="179"/>
      <c r="ASU36" s="179"/>
      <c r="ASV36" s="179"/>
      <c r="ASW36" s="179"/>
      <c r="ASX36" s="179"/>
      <c r="ASY36" s="179"/>
      <c r="ASZ36" s="179"/>
      <c r="ATA36" s="179"/>
      <c r="ATB36" s="179"/>
      <c r="ATC36" s="179"/>
      <c r="ATD36" s="179"/>
      <c r="ATE36" s="179"/>
      <c r="ATF36" s="179"/>
      <c r="ATG36" s="179"/>
      <c r="ATH36" s="179"/>
      <c r="ATI36" s="179"/>
      <c r="ATJ36" s="179"/>
      <c r="ATK36" s="179"/>
      <c r="ATL36" s="179"/>
      <c r="ATM36" s="179"/>
      <c r="ATN36" s="179"/>
      <c r="ATO36" s="179"/>
      <c r="ATP36" s="179"/>
      <c r="ATQ36" s="179"/>
      <c r="ATR36" s="179"/>
      <c r="ATS36" s="179"/>
      <c r="ATT36" s="179"/>
      <c r="ATU36" s="179"/>
      <c r="ATV36" s="179"/>
      <c r="ATW36" s="179"/>
      <c r="ATX36" s="179"/>
      <c r="ATY36" s="179"/>
      <c r="ATZ36" s="179"/>
      <c r="AUA36" s="179"/>
      <c r="AUB36" s="179"/>
      <c r="AUC36" s="179"/>
      <c r="AUD36" s="179"/>
      <c r="AUE36" s="179"/>
      <c r="AUF36" s="179"/>
      <c r="AUG36" s="179"/>
      <c r="AUH36" s="179"/>
      <c r="AUI36" s="179"/>
      <c r="AUJ36" s="179"/>
      <c r="AUK36" s="179"/>
      <c r="AUL36" s="179"/>
      <c r="AUM36" s="179"/>
      <c r="AUN36" s="179"/>
      <c r="AUO36" s="179"/>
      <c r="AUP36" s="179"/>
      <c r="AUQ36" s="179"/>
      <c r="AUR36" s="179"/>
      <c r="AUS36" s="179"/>
      <c r="AUT36" s="179"/>
      <c r="AUU36" s="179"/>
      <c r="AUV36" s="179"/>
      <c r="AUW36" s="179"/>
      <c r="AUX36" s="179"/>
      <c r="AUY36" s="179"/>
      <c r="AUZ36" s="179"/>
      <c r="AVA36" s="179"/>
      <c r="AVB36" s="179"/>
      <c r="AVC36" s="179"/>
      <c r="AVD36" s="179"/>
      <c r="AVE36" s="179"/>
      <c r="AVF36" s="179"/>
      <c r="AVG36" s="179"/>
      <c r="AVH36" s="179"/>
      <c r="AVI36" s="179"/>
      <c r="AVJ36" s="179"/>
      <c r="AVK36" s="179"/>
      <c r="AVL36" s="179"/>
      <c r="AVM36" s="179"/>
      <c r="AVN36" s="179"/>
      <c r="AVO36" s="179"/>
      <c r="AVP36" s="179"/>
      <c r="AVQ36" s="179"/>
      <c r="AVR36" s="179"/>
      <c r="AVS36" s="179"/>
      <c r="AVT36" s="179"/>
      <c r="AVU36" s="179"/>
      <c r="AVV36" s="179"/>
      <c r="AVW36" s="179"/>
      <c r="AVX36" s="179"/>
      <c r="AVY36" s="179"/>
      <c r="AVZ36" s="179"/>
      <c r="AWA36" s="179"/>
      <c r="AWB36" s="179"/>
      <c r="AWC36" s="179"/>
      <c r="AWD36" s="179"/>
      <c r="AWE36" s="179"/>
      <c r="AWF36" s="179"/>
      <c r="AWG36" s="179"/>
      <c r="AWH36" s="179"/>
      <c r="AWI36" s="179"/>
      <c r="AWJ36" s="179"/>
      <c r="AWK36" s="179"/>
      <c r="AWL36" s="179"/>
      <c r="AWM36" s="179"/>
      <c r="AWN36" s="179"/>
      <c r="AWO36" s="179"/>
      <c r="AWP36" s="179"/>
      <c r="AWQ36" s="179"/>
      <c r="AWR36" s="179"/>
      <c r="AWS36" s="179"/>
      <c r="AWT36" s="179"/>
      <c r="AWU36" s="179"/>
      <c r="AWV36" s="179"/>
      <c r="AWW36" s="179"/>
      <c r="AWX36" s="179"/>
      <c r="AWY36" s="179"/>
      <c r="AWZ36" s="179"/>
      <c r="AXA36" s="179"/>
      <c r="AXB36" s="179"/>
      <c r="AXC36" s="179"/>
      <c r="AXD36" s="179"/>
      <c r="AXE36" s="179"/>
      <c r="AXF36" s="179"/>
      <c r="AXG36" s="179"/>
      <c r="AXH36" s="179"/>
      <c r="AXI36" s="179"/>
      <c r="AXJ36" s="179"/>
      <c r="AXK36" s="179"/>
      <c r="AXL36" s="179"/>
      <c r="AXM36" s="179"/>
      <c r="AXN36" s="179"/>
      <c r="AXO36" s="179"/>
      <c r="AXP36" s="179"/>
      <c r="AXQ36" s="179"/>
      <c r="AXR36" s="179"/>
      <c r="AXS36" s="179"/>
      <c r="AXT36" s="179"/>
      <c r="AXU36" s="179"/>
      <c r="AXV36" s="179"/>
      <c r="AXW36" s="179"/>
      <c r="AXX36" s="179"/>
      <c r="AXY36" s="179"/>
      <c r="AXZ36" s="179"/>
      <c r="AYA36" s="179"/>
      <c r="AYB36" s="179"/>
      <c r="AYC36" s="179"/>
      <c r="AYD36" s="179"/>
      <c r="AYE36" s="179"/>
      <c r="AYF36" s="179"/>
      <c r="AYG36" s="179"/>
      <c r="AYH36" s="179"/>
      <c r="AYI36" s="179"/>
      <c r="AYJ36" s="179"/>
      <c r="AYK36" s="179"/>
      <c r="AYL36" s="179"/>
      <c r="AYM36" s="179"/>
      <c r="AYN36" s="179"/>
      <c r="AYO36" s="179"/>
      <c r="AYP36" s="179"/>
      <c r="AYQ36" s="179"/>
      <c r="AYR36" s="179"/>
      <c r="AYS36" s="179"/>
      <c r="AYT36" s="179"/>
      <c r="AYU36" s="179"/>
      <c r="AYV36" s="179"/>
      <c r="AYW36" s="179"/>
      <c r="AYX36" s="179"/>
      <c r="AYY36" s="179"/>
      <c r="AYZ36" s="179"/>
      <c r="AZA36" s="179"/>
      <c r="AZB36" s="179"/>
      <c r="AZC36" s="179"/>
      <c r="AZD36" s="179"/>
      <c r="AZE36" s="179"/>
      <c r="AZF36" s="179"/>
      <c r="AZG36" s="179"/>
      <c r="AZH36" s="179"/>
      <c r="AZI36" s="179"/>
      <c r="AZJ36" s="179"/>
      <c r="AZK36" s="179"/>
      <c r="AZL36" s="179"/>
      <c r="AZM36" s="179"/>
      <c r="AZN36" s="179"/>
      <c r="AZO36" s="179"/>
      <c r="AZP36" s="179"/>
      <c r="AZQ36" s="179"/>
      <c r="AZR36" s="179"/>
      <c r="AZS36" s="179"/>
      <c r="AZT36" s="179"/>
      <c r="AZU36" s="179"/>
      <c r="AZV36" s="179"/>
      <c r="AZW36" s="179"/>
      <c r="AZX36" s="179"/>
      <c r="AZY36" s="179"/>
      <c r="AZZ36" s="179"/>
      <c r="BAA36" s="179"/>
      <c r="BAB36" s="179"/>
      <c r="BAC36" s="179"/>
      <c r="BAD36" s="179"/>
      <c r="BAE36" s="179"/>
      <c r="BAF36" s="179"/>
      <c r="BAG36" s="179"/>
      <c r="BAH36" s="179"/>
      <c r="BAI36" s="179"/>
      <c r="BAJ36" s="179"/>
      <c r="BAK36" s="179"/>
      <c r="BAL36" s="179"/>
      <c r="BAM36" s="179"/>
      <c r="BAN36" s="179"/>
      <c r="BAO36" s="179"/>
      <c r="BAP36" s="179"/>
      <c r="BAQ36" s="179"/>
      <c r="BAR36" s="179"/>
      <c r="BAS36" s="179"/>
      <c r="BAT36" s="179"/>
      <c r="BAU36" s="179"/>
      <c r="BAV36" s="179"/>
      <c r="BAW36" s="179"/>
      <c r="BAX36" s="179"/>
      <c r="BAY36" s="179"/>
      <c r="BAZ36" s="179"/>
      <c r="BBA36" s="179"/>
      <c r="BBB36" s="179"/>
      <c r="BBC36" s="179"/>
      <c r="BBD36" s="179"/>
      <c r="BBE36" s="179"/>
      <c r="BBF36" s="179"/>
      <c r="BBG36" s="179"/>
      <c r="BBH36" s="179"/>
      <c r="BBI36" s="179"/>
      <c r="BBJ36" s="179"/>
      <c r="BBK36" s="179"/>
      <c r="BBL36" s="179"/>
      <c r="BBM36" s="179"/>
      <c r="BBN36" s="179"/>
      <c r="BBO36" s="179"/>
      <c r="BBP36" s="179"/>
      <c r="BBQ36" s="179"/>
      <c r="BBR36" s="179"/>
      <c r="BBS36" s="179"/>
      <c r="BBT36" s="179"/>
      <c r="BBU36" s="179"/>
      <c r="BBV36" s="179"/>
      <c r="BBW36" s="179"/>
      <c r="BBX36" s="179"/>
      <c r="BBY36" s="179"/>
      <c r="BBZ36" s="179"/>
      <c r="BCA36" s="179"/>
      <c r="BCB36" s="179"/>
      <c r="BCC36" s="179"/>
      <c r="BCD36" s="179"/>
      <c r="BCE36" s="179"/>
      <c r="BCF36" s="179"/>
      <c r="BCG36" s="179"/>
      <c r="BCH36" s="179"/>
      <c r="BCI36" s="179"/>
      <c r="BCJ36" s="179"/>
      <c r="BCK36" s="179"/>
      <c r="BCL36" s="179"/>
      <c r="BCM36" s="179"/>
      <c r="BCN36" s="179"/>
      <c r="BCO36" s="179"/>
      <c r="BCP36" s="179"/>
      <c r="BCQ36" s="179"/>
      <c r="BCR36" s="179"/>
      <c r="BCS36" s="179"/>
      <c r="BCT36" s="179"/>
      <c r="BCU36" s="179"/>
      <c r="BCV36" s="179"/>
      <c r="BCW36" s="179"/>
      <c r="BCX36" s="179"/>
      <c r="BCY36" s="179"/>
      <c r="BCZ36" s="179"/>
      <c r="BDA36" s="179"/>
      <c r="BDB36" s="179"/>
      <c r="BDC36" s="179"/>
      <c r="BDD36" s="179"/>
      <c r="BDE36" s="179"/>
      <c r="BDF36" s="179"/>
      <c r="BDG36" s="179"/>
      <c r="BDH36" s="179"/>
      <c r="BDI36" s="179"/>
      <c r="BDJ36" s="179"/>
      <c r="BDK36" s="179"/>
      <c r="BDL36" s="179"/>
      <c r="BDM36" s="179"/>
      <c r="BDN36" s="179"/>
      <c r="BDO36" s="179"/>
      <c r="BDP36" s="179"/>
      <c r="BDQ36" s="179"/>
      <c r="BDR36" s="179"/>
      <c r="BDS36" s="179"/>
      <c r="BDT36" s="179"/>
      <c r="BDU36" s="179"/>
      <c r="BDV36" s="179"/>
      <c r="BDW36" s="179"/>
      <c r="BDX36" s="179"/>
      <c r="BDY36" s="179"/>
      <c r="BDZ36" s="179"/>
      <c r="BEA36" s="179"/>
      <c r="BEB36" s="179"/>
      <c r="BEC36" s="179"/>
      <c r="BED36" s="179"/>
      <c r="BEE36" s="179"/>
      <c r="BEF36" s="179"/>
      <c r="BEG36" s="179"/>
      <c r="BEH36" s="179"/>
      <c r="BEI36" s="179"/>
      <c r="BEJ36" s="179"/>
      <c r="BEK36" s="179"/>
      <c r="BEL36" s="179"/>
      <c r="BEM36" s="179"/>
      <c r="BEN36" s="179"/>
      <c r="BEO36" s="179"/>
      <c r="BEP36" s="179"/>
      <c r="BEQ36" s="179"/>
      <c r="BER36" s="179"/>
      <c r="BES36" s="179"/>
      <c r="BET36" s="179"/>
      <c r="BEU36" s="179"/>
      <c r="BEV36" s="179"/>
      <c r="BEW36" s="179"/>
      <c r="BEX36" s="179"/>
      <c r="BEY36" s="179"/>
      <c r="BEZ36" s="179"/>
      <c r="BFA36" s="179"/>
      <c r="BFB36" s="179"/>
      <c r="BFC36" s="179"/>
      <c r="BFD36" s="179"/>
      <c r="BFE36" s="179"/>
      <c r="BFF36" s="179"/>
      <c r="BFG36" s="179"/>
      <c r="BFH36" s="179"/>
      <c r="BFI36" s="179"/>
      <c r="BFJ36" s="179"/>
      <c r="BFK36" s="179"/>
      <c r="BFL36" s="179"/>
      <c r="BFM36" s="179"/>
      <c r="BFN36" s="179"/>
      <c r="BFO36" s="179"/>
      <c r="BFP36" s="179"/>
      <c r="BFQ36" s="179"/>
      <c r="BFR36" s="179"/>
      <c r="BFS36" s="179"/>
      <c r="BFT36" s="179"/>
      <c r="BFU36" s="179"/>
      <c r="BFV36" s="179"/>
      <c r="BFW36" s="179"/>
      <c r="BFX36" s="179"/>
      <c r="BFY36" s="179"/>
      <c r="BFZ36" s="179"/>
      <c r="BGA36" s="179"/>
      <c r="BGB36" s="179"/>
      <c r="BGC36" s="179"/>
      <c r="BGD36" s="179"/>
      <c r="BGE36" s="179"/>
      <c r="BGF36" s="179"/>
      <c r="BGG36" s="179"/>
      <c r="BGH36" s="179"/>
      <c r="BGI36" s="179"/>
      <c r="BGJ36" s="179"/>
      <c r="BGK36" s="179"/>
      <c r="BGL36" s="179"/>
      <c r="BGM36" s="179"/>
      <c r="BGN36" s="179"/>
      <c r="BGO36" s="179"/>
      <c r="BGP36" s="179"/>
      <c r="BGQ36" s="179"/>
      <c r="BGR36" s="179"/>
      <c r="BGS36" s="179"/>
      <c r="BGT36" s="179"/>
      <c r="BGU36" s="179"/>
      <c r="BGV36" s="179"/>
      <c r="BGW36" s="179"/>
      <c r="BGX36" s="179"/>
      <c r="BGY36" s="179"/>
      <c r="BGZ36" s="179"/>
      <c r="BHA36" s="179"/>
      <c r="BHB36" s="179"/>
      <c r="BHC36" s="179"/>
      <c r="BHD36" s="179"/>
      <c r="BHE36" s="179"/>
      <c r="BHF36" s="179"/>
      <c r="BHG36" s="179"/>
      <c r="BHH36" s="179"/>
      <c r="BHI36" s="179"/>
      <c r="BHJ36" s="179"/>
      <c r="BHK36" s="179"/>
      <c r="BHL36" s="179"/>
      <c r="BHM36" s="179"/>
      <c r="BHN36" s="179"/>
      <c r="BHO36" s="179"/>
      <c r="BHP36" s="179"/>
      <c r="BHQ36" s="179"/>
      <c r="BHR36" s="179"/>
      <c r="BHS36" s="179"/>
      <c r="BHT36" s="179"/>
      <c r="BHU36" s="179"/>
      <c r="BHV36" s="179"/>
      <c r="BHW36" s="179"/>
      <c r="BHX36" s="179"/>
      <c r="BHY36" s="179"/>
      <c r="BHZ36" s="179"/>
      <c r="BIA36" s="179"/>
      <c r="BIB36" s="179"/>
      <c r="BIC36" s="179"/>
      <c r="BID36" s="179"/>
      <c r="BIE36" s="179"/>
      <c r="BIF36" s="179"/>
      <c r="BIG36" s="179"/>
      <c r="BIH36" s="179"/>
      <c r="BII36" s="179"/>
      <c r="BIJ36" s="179"/>
      <c r="BIK36" s="179"/>
      <c r="BIL36" s="179"/>
      <c r="BIM36" s="179"/>
      <c r="BIN36" s="179"/>
      <c r="BIO36" s="179"/>
      <c r="BIP36" s="179"/>
      <c r="BIQ36" s="179"/>
      <c r="BIR36" s="179"/>
      <c r="BIS36" s="179"/>
      <c r="BIT36" s="179"/>
      <c r="BIU36" s="179"/>
      <c r="BIV36" s="179"/>
      <c r="BIW36" s="179"/>
      <c r="BIX36" s="179"/>
      <c r="BIY36" s="179"/>
      <c r="BIZ36" s="179"/>
      <c r="BJA36" s="179"/>
      <c r="BJB36" s="179"/>
      <c r="BJC36" s="179"/>
      <c r="BJD36" s="179"/>
      <c r="BJE36" s="179"/>
      <c r="BJF36" s="179"/>
      <c r="BJG36" s="179"/>
      <c r="BJH36" s="179"/>
      <c r="BJI36" s="179"/>
      <c r="BJJ36" s="179"/>
      <c r="BJK36" s="179"/>
      <c r="BJL36" s="179"/>
      <c r="BJM36" s="179"/>
      <c r="BJN36" s="179"/>
      <c r="BJO36" s="179"/>
      <c r="BJP36" s="179"/>
      <c r="BJQ36" s="179"/>
      <c r="BJR36" s="179"/>
      <c r="BJS36" s="179"/>
      <c r="BJT36" s="179"/>
      <c r="BJU36" s="179"/>
      <c r="BJV36" s="179"/>
      <c r="BJW36" s="179"/>
      <c r="BJX36" s="179"/>
      <c r="BJY36" s="179"/>
      <c r="BJZ36" s="179"/>
      <c r="BKA36" s="179"/>
      <c r="BKB36" s="179"/>
      <c r="BKC36" s="179"/>
      <c r="BKD36" s="179"/>
      <c r="BKE36" s="179"/>
      <c r="BKF36" s="179"/>
      <c r="BKG36" s="179"/>
      <c r="BKH36" s="179"/>
      <c r="BKI36" s="179"/>
      <c r="BKJ36" s="179"/>
      <c r="BKK36" s="179"/>
      <c r="BKL36" s="179"/>
      <c r="BKM36" s="179"/>
      <c r="BKN36" s="179"/>
      <c r="BKO36" s="179"/>
      <c r="BKP36" s="179"/>
      <c r="BKQ36" s="179"/>
      <c r="BKR36" s="179"/>
      <c r="BKS36" s="179"/>
      <c r="BKT36" s="179"/>
      <c r="BKU36" s="179"/>
      <c r="BKV36" s="179"/>
      <c r="BKW36" s="179"/>
      <c r="BKX36" s="179"/>
      <c r="BKY36" s="179"/>
      <c r="BKZ36" s="179"/>
      <c r="BLA36" s="179"/>
      <c r="BLB36" s="179"/>
      <c r="BLC36" s="179"/>
      <c r="BLD36" s="179"/>
      <c r="BLE36" s="179"/>
      <c r="BLF36" s="179"/>
      <c r="BLG36" s="179"/>
      <c r="BLH36" s="179"/>
      <c r="BLI36" s="179"/>
      <c r="BLJ36" s="179"/>
      <c r="BLK36" s="179"/>
      <c r="BLL36" s="179"/>
      <c r="BLM36" s="179"/>
      <c r="BLN36" s="179"/>
      <c r="BLO36" s="179"/>
      <c r="BLP36" s="179"/>
      <c r="BLQ36" s="179"/>
      <c r="BLR36" s="179"/>
      <c r="BLS36" s="179"/>
      <c r="BLT36" s="179"/>
      <c r="BLU36" s="179"/>
      <c r="BLV36" s="179"/>
      <c r="BLW36" s="179"/>
      <c r="BLX36" s="179"/>
      <c r="BLY36" s="179"/>
      <c r="BLZ36" s="179"/>
      <c r="BMA36" s="179"/>
      <c r="BMB36" s="179"/>
      <c r="BMC36" s="179"/>
      <c r="BMD36" s="179"/>
      <c r="BME36" s="179"/>
      <c r="BMF36" s="179"/>
      <c r="BMG36" s="179"/>
      <c r="BMH36" s="179"/>
      <c r="BMI36" s="179"/>
      <c r="BMJ36" s="179"/>
      <c r="BMK36" s="179"/>
      <c r="BML36" s="179"/>
      <c r="BMM36" s="179"/>
      <c r="BMN36" s="179"/>
      <c r="BMO36" s="179"/>
      <c r="BMP36" s="179"/>
      <c r="BMQ36" s="179"/>
      <c r="BMR36" s="179"/>
      <c r="BMS36" s="179"/>
      <c r="BMT36" s="179"/>
      <c r="BMU36" s="179"/>
      <c r="BMV36" s="179"/>
      <c r="BMW36" s="179"/>
      <c r="BMX36" s="179"/>
      <c r="BMY36" s="179"/>
      <c r="BMZ36" s="179"/>
      <c r="BNA36" s="179"/>
      <c r="BNB36" s="179"/>
      <c r="BNC36" s="179"/>
      <c r="BND36" s="179"/>
      <c r="BNE36" s="179"/>
      <c r="BNF36" s="179"/>
      <c r="BNG36" s="179"/>
      <c r="BNH36" s="179"/>
      <c r="BNI36" s="179"/>
      <c r="BNJ36" s="179"/>
      <c r="BNK36" s="179"/>
      <c r="BNL36" s="179"/>
      <c r="BNM36" s="179"/>
      <c r="BNN36" s="179"/>
      <c r="BNO36" s="179"/>
      <c r="BNP36" s="179"/>
      <c r="BNQ36" s="179"/>
      <c r="BNR36" s="179"/>
      <c r="BNS36" s="179"/>
      <c r="BNT36" s="179"/>
      <c r="BNU36" s="179"/>
      <c r="BNV36" s="179"/>
      <c r="BNW36" s="179"/>
      <c r="BNX36" s="179"/>
      <c r="BNY36" s="179"/>
      <c r="BNZ36" s="179"/>
      <c r="BOA36" s="179"/>
      <c r="BOB36" s="179"/>
      <c r="BOC36" s="179"/>
      <c r="BOD36" s="179"/>
      <c r="BOE36" s="179"/>
      <c r="BOF36" s="179"/>
      <c r="BOG36" s="179"/>
      <c r="BOH36" s="179"/>
      <c r="BOI36" s="179"/>
      <c r="BOJ36" s="179"/>
      <c r="BOK36" s="179"/>
      <c r="BOL36" s="179"/>
      <c r="BOM36" s="179"/>
      <c r="BON36" s="179"/>
      <c r="BOO36" s="179"/>
      <c r="BOP36" s="179"/>
      <c r="BOQ36" s="179"/>
      <c r="BOR36" s="179"/>
      <c r="BOS36" s="179"/>
      <c r="BOT36" s="179"/>
      <c r="BOU36" s="179"/>
      <c r="BOV36" s="179"/>
      <c r="BOW36" s="179"/>
      <c r="BOX36" s="179"/>
      <c r="BOY36" s="179"/>
      <c r="BOZ36" s="179"/>
      <c r="BPA36" s="179"/>
      <c r="BPB36" s="179"/>
      <c r="BPC36" s="179"/>
      <c r="BPD36" s="179"/>
      <c r="BPE36" s="179"/>
      <c r="BPF36" s="179"/>
      <c r="BPG36" s="179"/>
      <c r="BPH36" s="179"/>
      <c r="BPI36" s="179"/>
      <c r="BPJ36" s="179"/>
      <c r="BPK36" s="179"/>
      <c r="BPL36" s="179"/>
      <c r="BPM36" s="179"/>
      <c r="BPN36" s="179"/>
      <c r="BPO36" s="179"/>
      <c r="BPP36" s="179"/>
      <c r="BPQ36" s="179"/>
      <c r="BPR36" s="179"/>
      <c r="BPS36" s="179"/>
      <c r="BPT36" s="179"/>
      <c r="BPU36" s="179"/>
      <c r="BPV36" s="179"/>
      <c r="BPW36" s="179"/>
      <c r="BPX36" s="179"/>
      <c r="BPY36" s="179"/>
      <c r="BPZ36" s="179"/>
      <c r="BQA36" s="179"/>
      <c r="BQB36" s="179"/>
      <c r="BQC36" s="179"/>
      <c r="BQD36" s="179"/>
      <c r="BQE36" s="179"/>
      <c r="BQF36" s="179"/>
      <c r="BQG36" s="179"/>
      <c r="BQH36" s="179"/>
      <c r="BQI36" s="179"/>
      <c r="BQJ36" s="179"/>
      <c r="BQK36" s="179"/>
      <c r="BQL36" s="179"/>
      <c r="BQM36" s="179"/>
      <c r="BQN36" s="179"/>
      <c r="BQO36" s="179"/>
      <c r="BQP36" s="179"/>
      <c r="BQQ36" s="179"/>
      <c r="BQR36" s="179"/>
      <c r="BQS36" s="179"/>
      <c r="BQT36" s="179"/>
      <c r="BQU36" s="179"/>
      <c r="BQV36" s="179"/>
      <c r="BQW36" s="179"/>
      <c r="BQX36" s="179"/>
      <c r="BQY36" s="179"/>
      <c r="BQZ36" s="179"/>
      <c r="BRA36" s="179"/>
      <c r="BRB36" s="179"/>
      <c r="BRC36" s="179"/>
      <c r="BRD36" s="179"/>
      <c r="BRE36" s="179"/>
      <c r="BRF36" s="179"/>
      <c r="BRG36" s="179"/>
      <c r="BRH36" s="179"/>
      <c r="BRI36" s="179"/>
      <c r="BRJ36" s="179"/>
      <c r="BRK36" s="179"/>
      <c r="BRL36" s="179"/>
      <c r="BRM36" s="179"/>
      <c r="BRN36" s="179"/>
      <c r="BRO36" s="179"/>
      <c r="BRP36" s="179"/>
      <c r="BRQ36" s="179"/>
      <c r="BRR36" s="179"/>
      <c r="BRS36" s="179"/>
      <c r="BRT36" s="179"/>
      <c r="BRU36" s="179"/>
      <c r="BRV36" s="179"/>
      <c r="BRW36" s="179"/>
      <c r="BRX36" s="179"/>
      <c r="BRY36" s="179"/>
      <c r="BRZ36" s="179"/>
      <c r="BSA36" s="179"/>
      <c r="BSB36" s="179"/>
      <c r="BSC36" s="179"/>
      <c r="BSD36" s="179"/>
      <c r="BSE36" s="179"/>
      <c r="BSF36" s="179"/>
      <c r="BSG36" s="179"/>
      <c r="BSH36" s="179"/>
      <c r="BSI36" s="179"/>
      <c r="BSJ36" s="179"/>
      <c r="BSK36" s="179"/>
      <c r="BSL36" s="179"/>
      <c r="BSM36" s="179"/>
      <c r="BSN36" s="179"/>
      <c r="BSO36" s="179"/>
      <c r="BSP36" s="179"/>
      <c r="BSQ36" s="179"/>
      <c r="BSR36" s="179"/>
      <c r="BSS36" s="179"/>
      <c r="BST36" s="179"/>
      <c r="BSU36" s="179"/>
      <c r="BSV36" s="179"/>
      <c r="BSW36" s="179"/>
      <c r="BSX36" s="179"/>
      <c r="BSY36" s="179"/>
      <c r="BSZ36" s="179"/>
      <c r="BTA36" s="179"/>
      <c r="BTB36" s="179"/>
      <c r="BTC36" s="179"/>
      <c r="BTD36" s="179"/>
      <c r="BTE36" s="179"/>
      <c r="BTF36" s="179"/>
      <c r="BTG36" s="179"/>
      <c r="BTH36" s="179"/>
      <c r="BTI36" s="179"/>
      <c r="BTJ36" s="179"/>
      <c r="BTK36" s="179"/>
      <c r="BTL36" s="179"/>
      <c r="BTM36" s="179"/>
      <c r="BTN36" s="179"/>
      <c r="BTO36" s="179"/>
      <c r="BTP36" s="179"/>
      <c r="BTQ36" s="179"/>
      <c r="BTR36" s="179"/>
      <c r="BTS36" s="179"/>
      <c r="BTT36" s="179"/>
      <c r="BTU36" s="179"/>
      <c r="BTV36" s="179"/>
      <c r="BTW36" s="179"/>
      <c r="BTX36" s="179"/>
      <c r="BTY36" s="179"/>
      <c r="BTZ36" s="179"/>
      <c r="BUA36" s="179"/>
      <c r="BUB36" s="179"/>
      <c r="BUC36" s="179"/>
      <c r="BUD36" s="179"/>
      <c r="BUE36" s="179"/>
      <c r="BUF36" s="179"/>
      <c r="BUG36" s="179"/>
      <c r="BUH36" s="179"/>
      <c r="BUI36" s="179"/>
      <c r="BUJ36" s="179"/>
      <c r="BUK36" s="179"/>
      <c r="BUL36" s="179"/>
      <c r="BUM36" s="179"/>
      <c r="BUN36" s="179"/>
      <c r="BUO36" s="179"/>
      <c r="BUP36" s="179"/>
      <c r="BUQ36" s="179"/>
      <c r="BUR36" s="179"/>
      <c r="BUS36" s="179"/>
      <c r="BUT36" s="179"/>
      <c r="BUU36" s="179"/>
      <c r="BUV36" s="179"/>
      <c r="BUW36" s="179"/>
      <c r="BUX36" s="179"/>
      <c r="BUY36" s="179"/>
      <c r="BUZ36" s="179"/>
      <c r="BVA36" s="179"/>
      <c r="BVB36" s="179"/>
      <c r="BVC36" s="179"/>
      <c r="BVD36" s="179"/>
      <c r="BVE36" s="179"/>
      <c r="BVF36" s="179"/>
      <c r="BVG36" s="179"/>
      <c r="BVH36" s="179"/>
      <c r="BVI36" s="179"/>
      <c r="BVJ36" s="179"/>
      <c r="BVK36" s="179"/>
      <c r="BVL36" s="179"/>
      <c r="BVM36" s="179"/>
      <c r="BVN36" s="179"/>
      <c r="BVO36" s="179"/>
      <c r="BVP36" s="179"/>
      <c r="BVQ36" s="179"/>
      <c r="BVR36" s="179"/>
      <c r="BVS36" s="179"/>
      <c r="BVT36" s="179"/>
      <c r="BVU36" s="179"/>
      <c r="BVV36" s="179"/>
      <c r="BVW36" s="179"/>
      <c r="BVX36" s="179"/>
      <c r="BVY36" s="179"/>
      <c r="BVZ36" s="179"/>
      <c r="BWA36" s="179"/>
      <c r="BWB36" s="179"/>
      <c r="BWC36" s="179"/>
      <c r="BWD36" s="179"/>
      <c r="BWE36" s="179"/>
      <c r="BWF36" s="179"/>
      <c r="BWG36" s="179"/>
      <c r="BWH36" s="179"/>
      <c r="BWI36" s="179"/>
      <c r="BWJ36" s="179"/>
      <c r="BWK36" s="179"/>
      <c r="BWL36" s="179"/>
      <c r="BWM36" s="179"/>
      <c r="BWN36" s="179"/>
      <c r="BWO36" s="179"/>
      <c r="BWP36" s="179"/>
      <c r="BWQ36" s="179"/>
      <c r="BWR36" s="179"/>
      <c r="BWS36" s="179"/>
      <c r="BWT36" s="179"/>
      <c r="BWU36" s="179"/>
      <c r="BWV36" s="179"/>
      <c r="BWW36" s="179"/>
      <c r="BWX36" s="179"/>
      <c r="BWY36" s="179"/>
      <c r="BWZ36" s="179"/>
      <c r="BXA36" s="179"/>
      <c r="BXB36" s="179"/>
      <c r="BXC36" s="179"/>
      <c r="BXD36" s="179"/>
      <c r="BXE36" s="179"/>
      <c r="BXF36" s="179"/>
      <c r="BXG36" s="179"/>
      <c r="BXH36" s="179"/>
      <c r="BXI36" s="179"/>
      <c r="BXJ36" s="179"/>
      <c r="BXK36" s="179"/>
      <c r="BXL36" s="179"/>
      <c r="BXM36" s="179"/>
      <c r="BXN36" s="179"/>
      <c r="BXO36" s="179"/>
      <c r="BXP36" s="179"/>
      <c r="BXQ36" s="179"/>
      <c r="BXR36" s="179"/>
      <c r="BXS36" s="179"/>
      <c r="BXT36" s="179"/>
      <c r="BXU36" s="179"/>
      <c r="BXV36" s="179"/>
      <c r="BXW36" s="179"/>
      <c r="BXX36" s="179"/>
      <c r="BXY36" s="179"/>
      <c r="BXZ36" s="179"/>
      <c r="BYA36" s="179"/>
      <c r="BYB36" s="179"/>
      <c r="BYC36" s="179"/>
      <c r="BYD36" s="179"/>
      <c r="BYE36" s="179"/>
      <c r="BYF36" s="179"/>
      <c r="BYG36" s="179"/>
    </row>
    <row r="37" spans="1:2009" s="3" customFormat="1" ht="13.5" hidden="1" customHeight="1" thickBot="1" x14ac:dyDescent="0.3">
      <c r="A37" s="72"/>
      <c r="B37" s="72"/>
      <c r="C37" s="136"/>
      <c r="D37" s="136"/>
      <c r="E37" s="136"/>
      <c r="F37" s="136"/>
      <c r="G37" s="511"/>
      <c r="I37" s="26"/>
    </row>
    <row r="38" spans="1:2009" s="85" customFormat="1" ht="24.95" customHeight="1" x14ac:dyDescent="0.25">
      <c r="A38" s="110" t="s">
        <v>43</v>
      </c>
      <c r="B38" s="111"/>
      <c r="C38" s="153"/>
      <c r="D38" s="153"/>
      <c r="E38" s="154"/>
      <c r="F38" s="154"/>
      <c r="G38" s="523"/>
      <c r="H38" s="3"/>
      <c r="I38" s="26"/>
      <c r="J38" s="3"/>
      <c r="K38" s="3"/>
      <c r="L38" s="3"/>
      <c r="M38" s="3"/>
      <c r="N38" s="169"/>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c r="ALV38" s="3"/>
      <c r="ALW38" s="3"/>
      <c r="ALX38" s="3"/>
      <c r="ALY38" s="3"/>
      <c r="ALZ38" s="3"/>
      <c r="AMA38" s="3"/>
      <c r="AMB38" s="3"/>
      <c r="AMC38" s="3"/>
      <c r="AMD38" s="3"/>
      <c r="AME38" s="3"/>
      <c r="AMF38" s="3"/>
      <c r="AMG38" s="3"/>
      <c r="AMH38" s="3"/>
      <c r="AMI38" s="3"/>
      <c r="AMJ38" s="3"/>
      <c r="AMK38" s="3"/>
      <c r="AML38" s="3"/>
      <c r="AMM38" s="3"/>
      <c r="AMN38" s="3"/>
      <c r="AMO38" s="3"/>
      <c r="AMP38" s="3"/>
      <c r="AMQ38" s="3"/>
      <c r="AMR38" s="3"/>
      <c r="AMS38" s="3"/>
      <c r="AMT38" s="3"/>
      <c r="AMU38" s="3"/>
      <c r="AMV38" s="3"/>
      <c r="AMW38" s="3"/>
      <c r="AMX38" s="3"/>
      <c r="AMY38" s="3"/>
      <c r="AMZ38" s="3"/>
      <c r="ANA38" s="3"/>
      <c r="ANB38" s="3"/>
      <c r="ANC38" s="3"/>
      <c r="AND38" s="3"/>
      <c r="ANE38" s="3"/>
      <c r="ANF38" s="3"/>
      <c r="ANG38" s="3"/>
      <c r="ANH38" s="3"/>
      <c r="ANI38" s="3"/>
      <c r="ANJ38" s="3"/>
      <c r="ANK38" s="3"/>
      <c r="ANL38" s="3"/>
      <c r="ANM38" s="3"/>
      <c r="ANN38" s="3"/>
      <c r="ANO38" s="3"/>
      <c r="ANP38" s="3"/>
      <c r="ANQ38" s="3"/>
      <c r="ANR38" s="3"/>
      <c r="ANS38" s="3"/>
      <c r="ANT38" s="3"/>
      <c r="ANU38" s="3"/>
      <c r="ANV38" s="3"/>
      <c r="ANW38" s="3"/>
      <c r="ANX38" s="3"/>
      <c r="ANY38" s="3"/>
      <c r="ANZ38" s="3"/>
      <c r="AOA38" s="3"/>
      <c r="AOB38" s="3"/>
      <c r="AOC38" s="3"/>
      <c r="AOD38" s="3"/>
      <c r="AOE38" s="3"/>
      <c r="AOF38" s="3"/>
      <c r="AOG38" s="3"/>
      <c r="AOH38" s="3"/>
      <c r="AOI38" s="3"/>
      <c r="AOJ38" s="3"/>
      <c r="AOK38" s="3"/>
      <c r="AOL38" s="3"/>
      <c r="AOM38" s="3"/>
      <c r="AON38" s="3"/>
      <c r="AOO38" s="3"/>
      <c r="AOP38" s="3"/>
      <c r="AOQ38" s="3"/>
      <c r="AOR38" s="3"/>
      <c r="AOS38" s="3"/>
      <c r="AOT38" s="3"/>
      <c r="AOU38" s="3"/>
      <c r="AOV38" s="3"/>
      <c r="AOW38" s="3"/>
      <c r="AOX38" s="3"/>
      <c r="AOY38" s="3"/>
      <c r="AOZ38" s="3"/>
      <c r="APA38" s="3"/>
      <c r="APB38" s="3"/>
      <c r="APC38" s="3"/>
      <c r="APD38" s="3"/>
      <c r="APE38" s="3"/>
      <c r="APF38" s="3"/>
      <c r="APG38" s="3"/>
      <c r="APH38" s="3"/>
      <c r="API38" s="3"/>
      <c r="APJ38" s="3"/>
      <c r="APK38" s="3"/>
      <c r="APL38" s="3"/>
      <c r="APM38" s="3"/>
      <c r="APN38" s="3"/>
      <c r="APO38" s="3"/>
      <c r="APP38" s="3"/>
      <c r="APQ38" s="3"/>
      <c r="APR38" s="3"/>
      <c r="APS38" s="3"/>
      <c r="APT38" s="3"/>
      <c r="APU38" s="3"/>
      <c r="APV38" s="3"/>
      <c r="APW38" s="3"/>
      <c r="APX38" s="3"/>
      <c r="APY38" s="3"/>
      <c r="APZ38" s="3"/>
      <c r="AQA38" s="3"/>
      <c r="AQB38" s="3"/>
      <c r="AQC38" s="3"/>
      <c r="AQD38" s="3"/>
      <c r="AQE38" s="3"/>
      <c r="AQF38" s="3"/>
      <c r="AQG38" s="3"/>
      <c r="AQH38" s="3"/>
      <c r="AQI38" s="3"/>
      <c r="AQJ38" s="3"/>
      <c r="AQK38" s="3"/>
      <c r="AQL38" s="3"/>
      <c r="AQM38" s="3"/>
      <c r="AQN38" s="3"/>
      <c r="AQO38" s="3"/>
      <c r="AQP38" s="3"/>
      <c r="AQQ38" s="3"/>
      <c r="AQR38" s="3"/>
      <c r="AQS38" s="3"/>
      <c r="AQT38" s="3"/>
      <c r="AQU38" s="3"/>
      <c r="AQV38" s="3"/>
      <c r="AQW38" s="3"/>
      <c r="AQX38" s="3"/>
      <c r="AQY38" s="3"/>
      <c r="AQZ38" s="3"/>
      <c r="ARA38" s="3"/>
      <c r="ARB38" s="3"/>
      <c r="ARC38" s="3"/>
      <c r="ARD38" s="3"/>
      <c r="ARE38" s="3"/>
      <c r="ARF38" s="3"/>
      <c r="ARG38" s="3"/>
      <c r="ARH38" s="3"/>
      <c r="ARI38" s="3"/>
      <c r="ARJ38" s="3"/>
      <c r="ARK38" s="3"/>
      <c r="ARL38" s="3"/>
      <c r="ARM38" s="3"/>
      <c r="ARN38" s="3"/>
      <c r="ARO38" s="3"/>
      <c r="ARP38" s="3"/>
      <c r="ARQ38" s="3"/>
      <c r="ARR38" s="3"/>
      <c r="ARS38" s="3"/>
      <c r="ART38" s="3"/>
      <c r="ARU38" s="3"/>
      <c r="ARV38" s="3"/>
      <c r="ARW38" s="3"/>
      <c r="ARX38" s="3"/>
      <c r="ARY38" s="3"/>
      <c r="ARZ38" s="3"/>
      <c r="ASA38" s="3"/>
      <c r="ASB38" s="3"/>
      <c r="ASC38" s="3"/>
      <c r="ASD38" s="3"/>
      <c r="ASE38" s="3"/>
      <c r="ASF38" s="3"/>
      <c r="ASG38" s="3"/>
      <c r="ASH38" s="3"/>
      <c r="ASI38" s="3"/>
      <c r="ASJ38" s="3"/>
      <c r="ASK38" s="3"/>
      <c r="ASL38" s="3"/>
      <c r="ASM38" s="3"/>
      <c r="ASN38" s="3"/>
      <c r="ASO38" s="3"/>
      <c r="ASP38" s="3"/>
      <c r="ASQ38" s="3"/>
      <c r="ASR38" s="3"/>
      <c r="ASS38" s="3"/>
      <c r="AST38" s="3"/>
      <c r="ASU38" s="3"/>
      <c r="ASV38" s="3"/>
      <c r="ASW38" s="3"/>
      <c r="ASX38" s="3"/>
      <c r="ASY38" s="3"/>
      <c r="ASZ38" s="3"/>
      <c r="ATA38" s="3"/>
      <c r="ATB38" s="3"/>
      <c r="ATC38" s="3"/>
      <c r="ATD38" s="3"/>
      <c r="ATE38" s="3"/>
      <c r="ATF38" s="3"/>
      <c r="ATG38" s="3"/>
      <c r="ATH38" s="3"/>
      <c r="ATI38" s="3"/>
      <c r="ATJ38" s="3"/>
      <c r="ATK38" s="3"/>
      <c r="ATL38" s="3"/>
      <c r="ATM38" s="3"/>
      <c r="ATN38" s="3"/>
      <c r="ATO38" s="3"/>
      <c r="ATP38" s="3"/>
      <c r="ATQ38" s="3"/>
      <c r="ATR38" s="3"/>
      <c r="ATS38" s="3"/>
      <c r="ATT38" s="3"/>
      <c r="ATU38" s="3"/>
      <c r="ATV38" s="3"/>
      <c r="ATW38" s="3"/>
      <c r="ATX38" s="3"/>
      <c r="ATY38" s="3"/>
      <c r="ATZ38" s="3"/>
      <c r="AUA38" s="3"/>
      <c r="AUB38" s="3"/>
      <c r="AUC38" s="3"/>
      <c r="AUD38" s="3"/>
      <c r="AUE38" s="3"/>
      <c r="AUF38" s="3"/>
      <c r="AUG38" s="3"/>
      <c r="AUH38" s="3"/>
      <c r="AUI38" s="3"/>
      <c r="AUJ38" s="3"/>
      <c r="AUK38" s="3"/>
      <c r="AUL38" s="3"/>
      <c r="AUM38" s="3"/>
      <c r="AUN38" s="3"/>
      <c r="AUO38" s="3"/>
      <c r="AUP38" s="3"/>
      <c r="AUQ38" s="3"/>
      <c r="AUR38" s="3"/>
      <c r="AUS38" s="3"/>
      <c r="AUT38" s="3"/>
      <c r="AUU38" s="3"/>
      <c r="AUV38" s="3"/>
      <c r="AUW38" s="3"/>
      <c r="AUX38" s="3"/>
      <c r="AUY38" s="3"/>
      <c r="AUZ38" s="3"/>
      <c r="AVA38" s="3"/>
      <c r="AVB38" s="3"/>
      <c r="AVC38" s="3"/>
      <c r="AVD38" s="3"/>
      <c r="AVE38" s="3"/>
      <c r="AVF38" s="3"/>
      <c r="AVG38" s="3"/>
      <c r="AVH38" s="3"/>
      <c r="AVI38" s="3"/>
      <c r="AVJ38" s="3"/>
      <c r="AVK38" s="3"/>
      <c r="AVL38" s="3"/>
      <c r="AVM38" s="3"/>
      <c r="AVN38" s="3"/>
      <c r="AVO38" s="3"/>
      <c r="AVP38" s="3"/>
      <c r="AVQ38" s="3"/>
      <c r="AVR38" s="3"/>
      <c r="AVS38" s="3"/>
      <c r="AVT38" s="3"/>
      <c r="AVU38" s="3"/>
      <c r="AVV38" s="3"/>
      <c r="AVW38" s="3"/>
      <c r="AVX38" s="3"/>
      <c r="AVY38" s="3"/>
      <c r="AVZ38" s="3"/>
      <c r="AWA38" s="3"/>
      <c r="AWB38" s="3"/>
      <c r="AWC38" s="3"/>
      <c r="AWD38" s="3"/>
      <c r="AWE38" s="3"/>
      <c r="AWF38" s="3"/>
      <c r="AWG38" s="3"/>
      <c r="AWH38" s="3"/>
      <c r="AWI38" s="3"/>
      <c r="AWJ38" s="3"/>
      <c r="AWK38" s="3"/>
      <c r="AWL38" s="3"/>
      <c r="AWM38" s="3"/>
      <c r="AWN38" s="3"/>
      <c r="AWO38" s="3"/>
      <c r="AWP38" s="3"/>
      <c r="AWQ38" s="3"/>
      <c r="AWR38" s="3"/>
      <c r="AWS38" s="3"/>
      <c r="AWT38" s="3"/>
      <c r="AWU38" s="3"/>
      <c r="AWV38" s="3"/>
      <c r="AWW38" s="3"/>
      <c r="AWX38" s="3"/>
      <c r="AWY38" s="3"/>
      <c r="AWZ38" s="3"/>
      <c r="AXA38" s="3"/>
      <c r="AXB38" s="3"/>
      <c r="AXC38" s="3"/>
      <c r="AXD38" s="3"/>
      <c r="AXE38" s="3"/>
      <c r="AXF38" s="3"/>
      <c r="AXG38" s="3"/>
      <c r="AXH38" s="3"/>
      <c r="AXI38" s="3"/>
      <c r="AXJ38" s="3"/>
      <c r="AXK38" s="3"/>
      <c r="AXL38" s="3"/>
      <c r="AXM38" s="3"/>
      <c r="AXN38" s="3"/>
      <c r="AXO38" s="3"/>
      <c r="AXP38" s="3"/>
      <c r="AXQ38" s="3"/>
      <c r="AXR38" s="3"/>
      <c r="AXS38" s="3"/>
      <c r="AXT38" s="3"/>
      <c r="AXU38" s="3"/>
      <c r="AXV38" s="3"/>
      <c r="AXW38" s="3"/>
      <c r="AXX38" s="3"/>
      <c r="AXY38" s="3"/>
      <c r="AXZ38" s="3"/>
      <c r="AYA38" s="3"/>
      <c r="AYB38" s="3"/>
      <c r="AYC38" s="3"/>
      <c r="AYD38" s="3"/>
      <c r="AYE38" s="3"/>
      <c r="AYF38" s="3"/>
      <c r="AYG38" s="3"/>
      <c r="AYH38" s="3"/>
      <c r="AYI38" s="3"/>
      <c r="AYJ38" s="3"/>
      <c r="AYK38" s="3"/>
      <c r="AYL38" s="3"/>
      <c r="AYM38" s="3"/>
      <c r="AYN38" s="3"/>
      <c r="AYO38" s="3"/>
      <c r="AYP38" s="3"/>
      <c r="AYQ38" s="3"/>
      <c r="AYR38" s="3"/>
      <c r="AYS38" s="3"/>
      <c r="AYT38" s="3"/>
      <c r="AYU38" s="3"/>
      <c r="AYV38" s="3"/>
      <c r="AYW38" s="3"/>
      <c r="AYX38" s="3"/>
      <c r="AYY38" s="3"/>
      <c r="AYZ38" s="3"/>
      <c r="AZA38" s="3"/>
      <c r="AZB38" s="3"/>
      <c r="AZC38" s="3"/>
      <c r="AZD38" s="3"/>
      <c r="AZE38" s="3"/>
      <c r="AZF38" s="3"/>
      <c r="AZG38" s="3"/>
      <c r="AZH38" s="3"/>
      <c r="AZI38" s="3"/>
      <c r="AZJ38" s="3"/>
      <c r="AZK38" s="3"/>
      <c r="AZL38" s="3"/>
      <c r="AZM38" s="3"/>
      <c r="AZN38" s="3"/>
      <c r="AZO38" s="3"/>
      <c r="AZP38" s="3"/>
      <c r="AZQ38" s="3"/>
      <c r="AZR38" s="3"/>
      <c r="AZS38" s="3"/>
      <c r="AZT38" s="3"/>
      <c r="AZU38" s="3"/>
      <c r="AZV38" s="3"/>
      <c r="AZW38" s="3"/>
      <c r="AZX38" s="3"/>
      <c r="AZY38" s="3"/>
      <c r="AZZ38" s="3"/>
      <c r="BAA38" s="3"/>
      <c r="BAB38" s="3"/>
      <c r="BAC38" s="3"/>
      <c r="BAD38" s="3"/>
      <c r="BAE38" s="3"/>
      <c r="BAF38" s="3"/>
      <c r="BAG38" s="3"/>
      <c r="BAH38" s="3"/>
      <c r="BAI38" s="3"/>
      <c r="BAJ38" s="3"/>
      <c r="BAK38" s="3"/>
      <c r="BAL38" s="3"/>
      <c r="BAM38" s="3"/>
      <c r="BAN38" s="3"/>
      <c r="BAO38" s="3"/>
      <c r="BAP38" s="3"/>
      <c r="BAQ38" s="3"/>
      <c r="BAR38" s="3"/>
      <c r="BAS38" s="3"/>
      <c r="BAT38" s="3"/>
      <c r="BAU38" s="3"/>
      <c r="BAV38" s="3"/>
      <c r="BAW38" s="3"/>
      <c r="BAX38" s="3"/>
      <c r="BAY38" s="3"/>
      <c r="BAZ38" s="3"/>
      <c r="BBA38" s="3"/>
      <c r="BBB38" s="3"/>
      <c r="BBC38" s="3"/>
      <c r="BBD38" s="3"/>
      <c r="BBE38" s="3"/>
      <c r="BBF38" s="3"/>
      <c r="BBG38" s="3"/>
      <c r="BBH38" s="3"/>
      <c r="BBI38" s="3"/>
      <c r="BBJ38" s="3"/>
      <c r="BBK38" s="3"/>
      <c r="BBL38" s="3"/>
      <c r="BBM38" s="3"/>
      <c r="BBN38" s="3"/>
      <c r="BBO38" s="3"/>
      <c r="BBP38" s="3"/>
      <c r="BBQ38" s="3"/>
      <c r="BBR38" s="3"/>
      <c r="BBS38" s="3"/>
      <c r="BBT38" s="3"/>
      <c r="BBU38" s="3"/>
      <c r="BBV38" s="3"/>
      <c r="BBW38" s="3"/>
      <c r="BBX38" s="3"/>
      <c r="BBY38" s="3"/>
      <c r="BBZ38" s="3"/>
      <c r="BCA38" s="3"/>
      <c r="BCB38" s="3"/>
      <c r="BCC38" s="3"/>
      <c r="BCD38" s="3"/>
      <c r="BCE38" s="3"/>
      <c r="BCF38" s="3"/>
      <c r="BCG38" s="3"/>
      <c r="BCH38" s="3"/>
      <c r="BCI38" s="3"/>
      <c r="BCJ38" s="3"/>
      <c r="BCK38" s="3"/>
      <c r="BCL38" s="3"/>
      <c r="BCM38" s="3"/>
      <c r="BCN38" s="3"/>
      <c r="BCO38" s="3"/>
      <c r="BCP38" s="3"/>
      <c r="BCQ38" s="3"/>
      <c r="BCR38" s="3"/>
      <c r="BCS38" s="3"/>
      <c r="BCT38" s="3"/>
      <c r="BCU38" s="3"/>
      <c r="BCV38" s="3"/>
      <c r="BCW38" s="3"/>
      <c r="BCX38" s="3"/>
      <c r="BCY38" s="3"/>
      <c r="BCZ38" s="3"/>
      <c r="BDA38" s="3"/>
      <c r="BDB38" s="3"/>
      <c r="BDC38" s="3"/>
      <c r="BDD38" s="3"/>
      <c r="BDE38" s="3"/>
      <c r="BDF38" s="3"/>
      <c r="BDG38" s="3"/>
      <c r="BDH38" s="3"/>
      <c r="BDI38" s="3"/>
      <c r="BDJ38" s="3"/>
      <c r="BDK38" s="3"/>
      <c r="BDL38" s="3"/>
      <c r="BDM38" s="3"/>
      <c r="BDN38" s="3"/>
      <c r="BDO38" s="3"/>
      <c r="BDP38" s="3"/>
      <c r="BDQ38" s="3"/>
      <c r="BDR38" s="3"/>
      <c r="BDS38" s="3"/>
      <c r="BDT38" s="3"/>
      <c r="BDU38" s="3"/>
      <c r="BDV38" s="3"/>
      <c r="BDW38" s="3"/>
      <c r="BDX38" s="3"/>
      <c r="BDY38" s="3"/>
      <c r="BDZ38" s="3"/>
      <c r="BEA38" s="3"/>
      <c r="BEB38" s="3"/>
      <c r="BEC38" s="3"/>
      <c r="BED38" s="3"/>
      <c r="BEE38" s="3"/>
      <c r="BEF38" s="3"/>
      <c r="BEG38" s="3"/>
      <c r="BEH38" s="3"/>
      <c r="BEI38" s="3"/>
      <c r="BEJ38" s="3"/>
      <c r="BEK38" s="3"/>
      <c r="BEL38" s="3"/>
      <c r="BEM38" s="3"/>
      <c r="BEN38" s="3"/>
      <c r="BEO38" s="3"/>
      <c r="BEP38" s="3"/>
      <c r="BEQ38" s="3"/>
      <c r="BER38" s="3"/>
      <c r="BES38" s="3"/>
      <c r="BET38" s="3"/>
      <c r="BEU38" s="3"/>
      <c r="BEV38" s="3"/>
      <c r="BEW38" s="3"/>
      <c r="BEX38" s="3"/>
      <c r="BEY38" s="3"/>
      <c r="BEZ38" s="3"/>
      <c r="BFA38" s="3"/>
      <c r="BFB38" s="3"/>
      <c r="BFC38" s="3"/>
      <c r="BFD38" s="3"/>
      <c r="BFE38" s="3"/>
      <c r="BFF38" s="3"/>
      <c r="BFG38" s="3"/>
      <c r="BFH38" s="3"/>
      <c r="BFI38" s="3"/>
      <c r="BFJ38" s="3"/>
      <c r="BFK38" s="3"/>
      <c r="BFL38" s="3"/>
      <c r="BFM38" s="3"/>
      <c r="BFN38" s="3"/>
      <c r="BFO38" s="3"/>
      <c r="BFP38" s="3"/>
      <c r="BFQ38" s="3"/>
      <c r="BFR38" s="3"/>
      <c r="BFS38" s="3"/>
      <c r="BFT38" s="3"/>
      <c r="BFU38" s="3"/>
      <c r="BFV38" s="3"/>
      <c r="BFW38" s="3"/>
      <c r="BFX38" s="3"/>
      <c r="BFY38" s="3"/>
      <c r="BFZ38" s="3"/>
      <c r="BGA38" s="3"/>
      <c r="BGB38" s="3"/>
      <c r="BGC38" s="3"/>
      <c r="BGD38" s="3"/>
      <c r="BGE38" s="3"/>
      <c r="BGF38" s="3"/>
      <c r="BGG38" s="3"/>
      <c r="BGH38" s="3"/>
      <c r="BGI38" s="3"/>
      <c r="BGJ38" s="3"/>
      <c r="BGK38" s="3"/>
      <c r="BGL38" s="3"/>
      <c r="BGM38" s="3"/>
      <c r="BGN38" s="3"/>
      <c r="BGO38" s="3"/>
      <c r="BGP38" s="3"/>
      <c r="BGQ38" s="3"/>
      <c r="BGR38" s="3"/>
      <c r="BGS38" s="3"/>
      <c r="BGT38" s="3"/>
      <c r="BGU38" s="3"/>
      <c r="BGV38" s="3"/>
      <c r="BGW38" s="3"/>
      <c r="BGX38" s="3"/>
      <c r="BGY38" s="3"/>
      <c r="BGZ38" s="3"/>
      <c r="BHA38" s="3"/>
      <c r="BHB38" s="3"/>
      <c r="BHC38" s="3"/>
      <c r="BHD38" s="3"/>
      <c r="BHE38" s="3"/>
      <c r="BHF38" s="3"/>
      <c r="BHG38" s="3"/>
      <c r="BHH38" s="3"/>
      <c r="BHI38" s="3"/>
      <c r="BHJ38" s="3"/>
      <c r="BHK38" s="3"/>
      <c r="BHL38" s="3"/>
      <c r="BHM38" s="3"/>
      <c r="BHN38" s="3"/>
      <c r="BHO38" s="3"/>
      <c r="BHP38" s="3"/>
      <c r="BHQ38" s="3"/>
      <c r="BHR38" s="3"/>
      <c r="BHS38" s="3"/>
      <c r="BHT38" s="3"/>
      <c r="BHU38" s="3"/>
      <c r="BHV38" s="3"/>
      <c r="BHW38" s="3"/>
      <c r="BHX38" s="3"/>
      <c r="BHY38" s="3"/>
      <c r="BHZ38" s="3"/>
      <c r="BIA38" s="3"/>
      <c r="BIB38" s="3"/>
      <c r="BIC38" s="3"/>
      <c r="BID38" s="3"/>
      <c r="BIE38" s="3"/>
      <c r="BIF38" s="3"/>
      <c r="BIG38" s="3"/>
      <c r="BIH38" s="3"/>
      <c r="BII38" s="3"/>
      <c r="BIJ38" s="3"/>
      <c r="BIK38" s="3"/>
      <c r="BIL38" s="3"/>
      <c r="BIM38" s="3"/>
      <c r="BIN38" s="3"/>
      <c r="BIO38" s="3"/>
      <c r="BIP38" s="3"/>
      <c r="BIQ38" s="3"/>
      <c r="BIR38" s="3"/>
      <c r="BIS38" s="3"/>
      <c r="BIT38" s="3"/>
      <c r="BIU38" s="3"/>
      <c r="BIV38" s="3"/>
      <c r="BIW38" s="3"/>
      <c r="BIX38" s="3"/>
      <c r="BIY38" s="3"/>
      <c r="BIZ38" s="3"/>
      <c r="BJA38" s="3"/>
      <c r="BJB38" s="3"/>
      <c r="BJC38" s="3"/>
      <c r="BJD38" s="3"/>
      <c r="BJE38" s="3"/>
      <c r="BJF38" s="3"/>
      <c r="BJG38" s="3"/>
      <c r="BJH38" s="3"/>
      <c r="BJI38" s="3"/>
      <c r="BJJ38" s="3"/>
      <c r="BJK38" s="3"/>
      <c r="BJL38" s="3"/>
      <c r="BJM38" s="3"/>
      <c r="BJN38" s="3"/>
      <c r="BJO38" s="3"/>
      <c r="BJP38" s="3"/>
      <c r="BJQ38" s="3"/>
      <c r="BJR38" s="3"/>
      <c r="BJS38" s="3"/>
      <c r="BJT38" s="3"/>
      <c r="BJU38" s="3"/>
      <c r="BJV38" s="3"/>
      <c r="BJW38" s="3"/>
      <c r="BJX38" s="3"/>
      <c r="BJY38" s="3"/>
      <c r="BJZ38" s="3"/>
      <c r="BKA38" s="3"/>
      <c r="BKB38" s="3"/>
      <c r="BKC38" s="3"/>
      <c r="BKD38" s="3"/>
      <c r="BKE38" s="3"/>
      <c r="BKF38" s="3"/>
      <c r="BKG38" s="3"/>
      <c r="BKH38" s="3"/>
      <c r="BKI38" s="3"/>
      <c r="BKJ38" s="3"/>
      <c r="BKK38" s="3"/>
      <c r="BKL38" s="3"/>
      <c r="BKM38" s="3"/>
      <c r="BKN38" s="3"/>
      <c r="BKO38" s="3"/>
      <c r="BKP38" s="3"/>
      <c r="BKQ38" s="3"/>
      <c r="BKR38" s="3"/>
      <c r="BKS38" s="3"/>
      <c r="BKT38" s="3"/>
      <c r="BKU38" s="3"/>
      <c r="BKV38" s="3"/>
      <c r="BKW38" s="3"/>
      <c r="BKX38" s="3"/>
      <c r="BKY38" s="3"/>
      <c r="BKZ38" s="3"/>
      <c r="BLA38" s="3"/>
      <c r="BLB38" s="3"/>
      <c r="BLC38" s="3"/>
      <c r="BLD38" s="3"/>
      <c r="BLE38" s="3"/>
      <c r="BLF38" s="3"/>
      <c r="BLG38" s="3"/>
      <c r="BLH38" s="3"/>
      <c r="BLI38" s="3"/>
      <c r="BLJ38" s="3"/>
      <c r="BLK38" s="3"/>
      <c r="BLL38" s="3"/>
      <c r="BLM38" s="3"/>
      <c r="BLN38" s="3"/>
      <c r="BLO38" s="3"/>
      <c r="BLP38" s="3"/>
      <c r="BLQ38" s="3"/>
      <c r="BLR38" s="3"/>
      <c r="BLS38" s="3"/>
      <c r="BLT38" s="3"/>
      <c r="BLU38" s="3"/>
      <c r="BLV38" s="3"/>
      <c r="BLW38" s="3"/>
      <c r="BLX38" s="3"/>
      <c r="BLY38" s="3"/>
      <c r="BLZ38" s="3"/>
      <c r="BMA38" s="3"/>
      <c r="BMB38" s="3"/>
      <c r="BMC38" s="3"/>
      <c r="BMD38" s="3"/>
      <c r="BME38" s="3"/>
      <c r="BMF38" s="3"/>
      <c r="BMG38" s="3"/>
      <c r="BMH38" s="3"/>
      <c r="BMI38" s="3"/>
      <c r="BMJ38" s="3"/>
      <c r="BMK38" s="3"/>
      <c r="BML38" s="3"/>
      <c r="BMM38" s="3"/>
      <c r="BMN38" s="3"/>
      <c r="BMO38" s="3"/>
      <c r="BMP38" s="3"/>
      <c r="BMQ38" s="3"/>
      <c r="BMR38" s="3"/>
      <c r="BMS38" s="3"/>
      <c r="BMT38" s="3"/>
      <c r="BMU38" s="3"/>
      <c r="BMV38" s="3"/>
      <c r="BMW38" s="3"/>
      <c r="BMX38" s="3"/>
      <c r="BMY38" s="3"/>
      <c r="BMZ38" s="3"/>
      <c r="BNA38" s="3"/>
      <c r="BNB38" s="3"/>
      <c r="BNC38" s="3"/>
      <c r="BND38" s="3"/>
      <c r="BNE38" s="3"/>
      <c r="BNF38" s="3"/>
      <c r="BNG38" s="3"/>
      <c r="BNH38" s="3"/>
      <c r="BNI38" s="3"/>
      <c r="BNJ38" s="3"/>
      <c r="BNK38" s="3"/>
      <c r="BNL38" s="3"/>
      <c r="BNM38" s="3"/>
      <c r="BNN38" s="3"/>
      <c r="BNO38" s="3"/>
      <c r="BNP38" s="3"/>
      <c r="BNQ38" s="3"/>
      <c r="BNR38" s="3"/>
      <c r="BNS38" s="3"/>
      <c r="BNT38" s="3"/>
      <c r="BNU38" s="3"/>
      <c r="BNV38" s="3"/>
      <c r="BNW38" s="3"/>
      <c r="BNX38" s="3"/>
      <c r="BNY38" s="3"/>
      <c r="BNZ38" s="3"/>
      <c r="BOA38" s="3"/>
      <c r="BOB38" s="3"/>
      <c r="BOC38" s="3"/>
      <c r="BOD38" s="3"/>
      <c r="BOE38" s="3"/>
      <c r="BOF38" s="3"/>
      <c r="BOG38" s="3"/>
      <c r="BOH38" s="3"/>
      <c r="BOI38" s="3"/>
      <c r="BOJ38" s="3"/>
      <c r="BOK38" s="3"/>
      <c r="BOL38" s="3"/>
      <c r="BOM38" s="3"/>
      <c r="BON38" s="3"/>
      <c r="BOO38" s="3"/>
      <c r="BOP38" s="3"/>
      <c r="BOQ38" s="3"/>
      <c r="BOR38" s="3"/>
      <c r="BOS38" s="3"/>
      <c r="BOT38" s="3"/>
      <c r="BOU38" s="3"/>
      <c r="BOV38" s="3"/>
      <c r="BOW38" s="3"/>
      <c r="BOX38" s="3"/>
      <c r="BOY38" s="3"/>
      <c r="BOZ38" s="3"/>
      <c r="BPA38" s="3"/>
      <c r="BPB38" s="3"/>
      <c r="BPC38" s="3"/>
      <c r="BPD38" s="3"/>
      <c r="BPE38" s="3"/>
      <c r="BPF38" s="3"/>
      <c r="BPG38" s="3"/>
      <c r="BPH38" s="3"/>
      <c r="BPI38" s="3"/>
      <c r="BPJ38" s="3"/>
      <c r="BPK38" s="3"/>
      <c r="BPL38" s="3"/>
      <c r="BPM38" s="3"/>
      <c r="BPN38" s="3"/>
      <c r="BPO38" s="3"/>
      <c r="BPP38" s="3"/>
      <c r="BPQ38" s="3"/>
      <c r="BPR38" s="3"/>
      <c r="BPS38" s="3"/>
      <c r="BPT38" s="3"/>
      <c r="BPU38" s="3"/>
      <c r="BPV38" s="3"/>
      <c r="BPW38" s="3"/>
      <c r="BPX38" s="3"/>
      <c r="BPY38" s="3"/>
      <c r="BPZ38" s="3"/>
      <c r="BQA38" s="3"/>
      <c r="BQB38" s="3"/>
      <c r="BQC38" s="3"/>
      <c r="BQD38" s="3"/>
      <c r="BQE38" s="3"/>
      <c r="BQF38" s="3"/>
      <c r="BQG38" s="3"/>
      <c r="BQH38" s="3"/>
      <c r="BQI38" s="3"/>
      <c r="BQJ38" s="3"/>
      <c r="BQK38" s="3"/>
      <c r="BQL38" s="3"/>
      <c r="BQM38" s="3"/>
      <c r="BQN38" s="3"/>
      <c r="BQO38" s="3"/>
      <c r="BQP38" s="3"/>
      <c r="BQQ38" s="3"/>
      <c r="BQR38" s="3"/>
      <c r="BQS38" s="3"/>
      <c r="BQT38" s="3"/>
      <c r="BQU38" s="3"/>
      <c r="BQV38" s="3"/>
      <c r="BQW38" s="3"/>
      <c r="BQX38" s="3"/>
      <c r="BQY38" s="3"/>
      <c r="BQZ38" s="3"/>
      <c r="BRA38" s="3"/>
      <c r="BRB38" s="3"/>
      <c r="BRC38" s="3"/>
      <c r="BRD38" s="3"/>
      <c r="BRE38" s="3"/>
      <c r="BRF38" s="3"/>
      <c r="BRG38" s="3"/>
      <c r="BRH38" s="3"/>
      <c r="BRI38" s="3"/>
      <c r="BRJ38" s="3"/>
      <c r="BRK38" s="3"/>
      <c r="BRL38" s="3"/>
      <c r="BRM38" s="3"/>
      <c r="BRN38" s="3"/>
      <c r="BRO38" s="3"/>
      <c r="BRP38" s="3"/>
      <c r="BRQ38" s="3"/>
      <c r="BRR38" s="3"/>
      <c r="BRS38" s="3"/>
      <c r="BRT38" s="3"/>
      <c r="BRU38" s="3"/>
      <c r="BRV38" s="3"/>
      <c r="BRW38" s="3"/>
      <c r="BRX38" s="3"/>
      <c r="BRY38" s="3"/>
      <c r="BRZ38" s="3"/>
      <c r="BSA38" s="3"/>
      <c r="BSB38" s="3"/>
      <c r="BSC38" s="3"/>
      <c r="BSD38" s="3"/>
      <c r="BSE38" s="3"/>
      <c r="BSF38" s="3"/>
      <c r="BSG38" s="3"/>
      <c r="BSH38" s="3"/>
      <c r="BSI38" s="3"/>
      <c r="BSJ38" s="3"/>
      <c r="BSK38" s="3"/>
      <c r="BSL38" s="3"/>
      <c r="BSM38" s="3"/>
      <c r="BSN38" s="3"/>
      <c r="BSO38" s="3"/>
      <c r="BSP38" s="3"/>
      <c r="BSQ38" s="3"/>
      <c r="BSR38" s="3"/>
      <c r="BSS38" s="3"/>
      <c r="BST38" s="3"/>
      <c r="BSU38" s="3"/>
      <c r="BSV38" s="3"/>
      <c r="BSW38" s="3"/>
      <c r="BSX38" s="3"/>
      <c r="BSY38" s="3"/>
      <c r="BSZ38" s="3"/>
      <c r="BTA38" s="3"/>
      <c r="BTB38" s="3"/>
      <c r="BTC38" s="3"/>
      <c r="BTD38" s="3"/>
      <c r="BTE38" s="3"/>
      <c r="BTF38" s="3"/>
      <c r="BTG38" s="3"/>
      <c r="BTH38" s="3"/>
      <c r="BTI38" s="3"/>
      <c r="BTJ38" s="3"/>
      <c r="BTK38" s="3"/>
      <c r="BTL38" s="3"/>
      <c r="BTM38" s="3"/>
      <c r="BTN38" s="3"/>
      <c r="BTO38" s="3"/>
      <c r="BTP38" s="3"/>
      <c r="BTQ38" s="3"/>
      <c r="BTR38" s="3"/>
      <c r="BTS38" s="3"/>
      <c r="BTT38" s="3"/>
      <c r="BTU38" s="3"/>
      <c r="BTV38" s="3"/>
      <c r="BTW38" s="3"/>
      <c r="BTX38" s="3"/>
      <c r="BTY38" s="3"/>
      <c r="BTZ38" s="3"/>
      <c r="BUA38" s="3"/>
      <c r="BUB38" s="3"/>
      <c r="BUC38" s="3"/>
      <c r="BUD38" s="3"/>
      <c r="BUE38" s="3"/>
      <c r="BUF38" s="3"/>
      <c r="BUG38" s="3"/>
      <c r="BUH38" s="3"/>
      <c r="BUI38" s="3"/>
      <c r="BUJ38" s="3"/>
      <c r="BUK38" s="3"/>
      <c r="BUL38" s="3"/>
      <c r="BUM38" s="3"/>
      <c r="BUN38" s="3"/>
      <c r="BUO38" s="3"/>
      <c r="BUP38" s="3"/>
      <c r="BUQ38" s="3"/>
      <c r="BUR38" s="3"/>
      <c r="BUS38" s="3"/>
      <c r="BUT38" s="3"/>
      <c r="BUU38" s="3"/>
      <c r="BUV38" s="3"/>
      <c r="BUW38" s="3"/>
      <c r="BUX38" s="3"/>
      <c r="BUY38" s="3"/>
      <c r="BUZ38" s="3"/>
      <c r="BVA38" s="3"/>
      <c r="BVB38" s="3"/>
      <c r="BVC38" s="3"/>
      <c r="BVD38" s="3"/>
      <c r="BVE38" s="3"/>
      <c r="BVF38" s="3"/>
      <c r="BVG38" s="3"/>
      <c r="BVH38" s="3"/>
      <c r="BVI38" s="3"/>
      <c r="BVJ38" s="3"/>
      <c r="BVK38" s="3"/>
      <c r="BVL38" s="3"/>
      <c r="BVM38" s="3"/>
      <c r="BVN38" s="3"/>
      <c r="BVO38" s="3"/>
      <c r="BVP38" s="3"/>
      <c r="BVQ38" s="3"/>
      <c r="BVR38" s="3"/>
      <c r="BVS38" s="3"/>
      <c r="BVT38" s="3"/>
      <c r="BVU38" s="3"/>
      <c r="BVV38" s="3"/>
      <c r="BVW38" s="3"/>
      <c r="BVX38" s="3"/>
      <c r="BVY38" s="3"/>
      <c r="BVZ38" s="3"/>
      <c r="BWA38" s="3"/>
      <c r="BWB38" s="3"/>
      <c r="BWC38" s="3"/>
      <c r="BWD38" s="3"/>
      <c r="BWE38" s="3"/>
      <c r="BWF38" s="3"/>
      <c r="BWG38" s="3"/>
      <c r="BWH38" s="3"/>
      <c r="BWI38" s="3"/>
      <c r="BWJ38" s="3"/>
      <c r="BWK38" s="3"/>
      <c r="BWL38" s="3"/>
      <c r="BWM38" s="3"/>
      <c r="BWN38" s="3"/>
      <c r="BWO38" s="3"/>
      <c r="BWP38" s="3"/>
      <c r="BWQ38" s="3"/>
      <c r="BWR38" s="3"/>
      <c r="BWS38" s="3"/>
      <c r="BWT38" s="3"/>
      <c r="BWU38" s="3"/>
      <c r="BWV38" s="3"/>
      <c r="BWW38" s="3"/>
      <c r="BWX38" s="3"/>
      <c r="BWY38" s="3"/>
      <c r="BWZ38" s="3"/>
      <c r="BXA38" s="3"/>
      <c r="BXB38" s="3"/>
      <c r="BXC38" s="3"/>
      <c r="BXD38" s="3"/>
      <c r="BXE38" s="3"/>
      <c r="BXF38" s="3"/>
      <c r="BXG38" s="3"/>
      <c r="BXH38" s="3"/>
      <c r="BXI38" s="3"/>
      <c r="BXJ38" s="3"/>
      <c r="BXK38" s="3"/>
      <c r="BXL38" s="3"/>
      <c r="BXM38" s="3"/>
      <c r="BXN38" s="3"/>
      <c r="BXO38" s="3"/>
      <c r="BXP38" s="3"/>
      <c r="BXQ38" s="3"/>
      <c r="BXR38" s="3"/>
      <c r="BXS38" s="3"/>
      <c r="BXT38" s="3"/>
      <c r="BXU38" s="3"/>
      <c r="BXV38" s="3"/>
      <c r="BXW38" s="3"/>
      <c r="BXX38" s="3"/>
      <c r="BXY38" s="3"/>
      <c r="BXZ38" s="3"/>
      <c r="BYA38" s="3"/>
      <c r="BYB38" s="3"/>
      <c r="BYC38" s="3"/>
      <c r="BYD38" s="3"/>
      <c r="BYE38" s="3"/>
      <c r="BYF38" s="3"/>
      <c r="BYG38" s="3"/>
    </row>
    <row r="39" spans="1:2009" s="85" customFormat="1" ht="24.95" customHeight="1" x14ac:dyDescent="0.25">
      <c r="A39" s="112"/>
      <c r="B39" s="86" t="s">
        <v>134</v>
      </c>
      <c r="C39" s="155">
        <f>4166.67-0.14</f>
        <v>4166.53</v>
      </c>
      <c r="D39" s="155">
        <v>4166.67</v>
      </c>
      <c r="E39" s="156"/>
      <c r="F39" s="156"/>
      <c r="G39" s="524">
        <f>ROUND(SUM(C39:F39),5)</f>
        <v>8333.2000000000007</v>
      </c>
      <c r="H39" s="3"/>
      <c r="I39" s="26"/>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c r="ALV39" s="3"/>
      <c r="ALW39" s="3"/>
      <c r="ALX39" s="3"/>
      <c r="ALY39" s="3"/>
      <c r="ALZ39" s="3"/>
      <c r="AMA39" s="3"/>
      <c r="AMB39" s="3"/>
      <c r="AMC39" s="3"/>
      <c r="AMD39" s="3"/>
      <c r="AME39" s="3"/>
      <c r="AMF39" s="3"/>
      <c r="AMG39" s="3"/>
      <c r="AMH39" s="3"/>
      <c r="AMI39" s="3"/>
      <c r="AMJ39" s="3"/>
      <c r="AMK39" s="3"/>
      <c r="AML39" s="3"/>
      <c r="AMM39" s="3"/>
      <c r="AMN39" s="3"/>
      <c r="AMO39" s="3"/>
      <c r="AMP39" s="3"/>
      <c r="AMQ39" s="3"/>
      <c r="AMR39" s="3"/>
      <c r="AMS39" s="3"/>
      <c r="AMT39" s="3"/>
      <c r="AMU39" s="3"/>
      <c r="AMV39" s="3"/>
      <c r="AMW39" s="3"/>
      <c r="AMX39" s="3"/>
      <c r="AMY39" s="3"/>
      <c r="AMZ39" s="3"/>
      <c r="ANA39" s="3"/>
      <c r="ANB39" s="3"/>
      <c r="ANC39" s="3"/>
      <c r="AND39" s="3"/>
      <c r="ANE39" s="3"/>
      <c r="ANF39" s="3"/>
      <c r="ANG39" s="3"/>
      <c r="ANH39" s="3"/>
      <c r="ANI39" s="3"/>
      <c r="ANJ39" s="3"/>
      <c r="ANK39" s="3"/>
      <c r="ANL39" s="3"/>
      <c r="ANM39" s="3"/>
      <c r="ANN39" s="3"/>
      <c r="ANO39" s="3"/>
      <c r="ANP39" s="3"/>
      <c r="ANQ39" s="3"/>
      <c r="ANR39" s="3"/>
      <c r="ANS39" s="3"/>
      <c r="ANT39" s="3"/>
      <c r="ANU39" s="3"/>
      <c r="ANV39" s="3"/>
      <c r="ANW39" s="3"/>
      <c r="ANX39" s="3"/>
      <c r="ANY39" s="3"/>
      <c r="ANZ39" s="3"/>
      <c r="AOA39" s="3"/>
      <c r="AOB39" s="3"/>
      <c r="AOC39" s="3"/>
      <c r="AOD39" s="3"/>
      <c r="AOE39" s="3"/>
      <c r="AOF39" s="3"/>
      <c r="AOG39" s="3"/>
      <c r="AOH39" s="3"/>
      <c r="AOI39" s="3"/>
      <c r="AOJ39" s="3"/>
      <c r="AOK39" s="3"/>
      <c r="AOL39" s="3"/>
      <c r="AOM39" s="3"/>
      <c r="AON39" s="3"/>
      <c r="AOO39" s="3"/>
      <c r="AOP39" s="3"/>
      <c r="AOQ39" s="3"/>
      <c r="AOR39" s="3"/>
      <c r="AOS39" s="3"/>
      <c r="AOT39" s="3"/>
      <c r="AOU39" s="3"/>
      <c r="AOV39" s="3"/>
      <c r="AOW39" s="3"/>
      <c r="AOX39" s="3"/>
      <c r="AOY39" s="3"/>
      <c r="AOZ39" s="3"/>
      <c r="APA39" s="3"/>
      <c r="APB39" s="3"/>
      <c r="APC39" s="3"/>
      <c r="APD39" s="3"/>
      <c r="APE39" s="3"/>
      <c r="APF39" s="3"/>
      <c r="APG39" s="3"/>
      <c r="APH39" s="3"/>
      <c r="API39" s="3"/>
      <c r="APJ39" s="3"/>
      <c r="APK39" s="3"/>
      <c r="APL39" s="3"/>
      <c r="APM39" s="3"/>
      <c r="APN39" s="3"/>
      <c r="APO39" s="3"/>
      <c r="APP39" s="3"/>
      <c r="APQ39" s="3"/>
      <c r="APR39" s="3"/>
      <c r="APS39" s="3"/>
      <c r="APT39" s="3"/>
      <c r="APU39" s="3"/>
      <c r="APV39" s="3"/>
      <c r="APW39" s="3"/>
      <c r="APX39" s="3"/>
      <c r="APY39" s="3"/>
      <c r="APZ39" s="3"/>
      <c r="AQA39" s="3"/>
      <c r="AQB39" s="3"/>
      <c r="AQC39" s="3"/>
      <c r="AQD39" s="3"/>
      <c r="AQE39" s="3"/>
      <c r="AQF39" s="3"/>
      <c r="AQG39" s="3"/>
      <c r="AQH39" s="3"/>
      <c r="AQI39" s="3"/>
      <c r="AQJ39" s="3"/>
      <c r="AQK39" s="3"/>
      <c r="AQL39" s="3"/>
      <c r="AQM39" s="3"/>
      <c r="AQN39" s="3"/>
      <c r="AQO39" s="3"/>
      <c r="AQP39" s="3"/>
      <c r="AQQ39" s="3"/>
      <c r="AQR39" s="3"/>
      <c r="AQS39" s="3"/>
      <c r="AQT39" s="3"/>
      <c r="AQU39" s="3"/>
      <c r="AQV39" s="3"/>
      <c r="AQW39" s="3"/>
      <c r="AQX39" s="3"/>
      <c r="AQY39" s="3"/>
      <c r="AQZ39" s="3"/>
      <c r="ARA39" s="3"/>
      <c r="ARB39" s="3"/>
      <c r="ARC39" s="3"/>
      <c r="ARD39" s="3"/>
      <c r="ARE39" s="3"/>
      <c r="ARF39" s="3"/>
      <c r="ARG39" s="3"/>
      <c r="ARH39" s="3"/>
      <c r="ARI39" s="3"/>
      <c r="ARJ39" s="3"/>
      <c r="ARK39" s="3"/>
      <c r="ARL39" s="3"/>
      <c r="ARM39" s="3"/>
      <c r="ARN39" s="3"/>
      <c r="ARO39" s="3"/>
      <c r="ARP39" s="3"/>
      <c r="ARQ39" s="3"/>
      <c r="ARR39" s="3"/>
      <c r="ARS39" s="3"/>
      <c r="ART39" s="3"/>
      <c r="ARU39" s="3"/>
      <c r="ARV39" s="3"/>
      <c r="ARW39" s="3"/>
      <c r="ARX39" s="3"/>
      <c r="ARY39" s="3"/>
      <c r="ARZ39" s="3"/>
      <c r="ASA39" s="3"/>
      <c r="ASB39" s="3"/>
      <c r="ASC39" s="3"/>
      <c r="ASD39" s="3"/>
      <c r="ASE39" s="3"/>
      <c r="ASF39" s="3"/>
      <c r="ASG39" s="3"/>
      <c r="ASH39" s="3"/>
      <c r="ASI39" s="3"/>
      <c r="ASJ39" s="3"/>
      <c r="ASK39" s="3"/>
      <c r="ASL39" s="3"/>
      <c r="ASM39" s="3"/>
      <c r="ASN39" s="3"/>
      <c r="ASO39" s="3"/>
      <c r="ASP39" s="3"/>
      <c r="ASQ39" s="3"/>
      <c r="ASR39" s="3"/>
      <c r="ASS39" s="3"/>
      <c r="AST39" s="3"/>
      <c r="ASU39" s="3"/>
      <c r="ASV39" s="3"/>
      <c r="ASW39" s="3"/>
      <c r="ASX39" s="3"/>
      <c r="ASY39" s="3"/>
      <c r="ASZ39" s="3"/>
      <c r="ATA39" s="3"/>
      <c r="ATB39" s="3"/>
      <c r="ATC39" s="3"/>
      <c r="ATD39" s="3"/>
      <c r="ATE39" s="3"/>
      <c r="ATF39" s="3"/>
      <c r="ATG39" s="3"/>
      <c r="ATH39" s="3"/>
      <c r="ATI39" s="3"/>
      <c r="ATJ39" s="3"/>
      <c r="ATK39" s="3"/>
      <c r="ATL39" s="3"/>
      <c r="ATM39" s="3"/>
      <c r="ATN39" s="3"/>
      <c r="ATO39" s="3"/>
      <c r="ATP39" s="3"/>
      <c r="ATQ39" s="3"/>
      <c r="ATR39" s="3"/>
      <c r="ATS39" s="3"/>
      <c r="ATT39" s="3"/>
      <c r="ATU39" s="3"/>
      <c r="ATV39" s="3"/>
      <c r="ATW39" s="3"/>
      <c r="ATX39" s="3"/>
      <c r="ATY39" s="3"/>
      <c r="ATZ39" s="3"/>
      <c r="AUA39" s="3"/>
      <c r="AUB39" s="3"/>
      <c r="AUC39" s="3"/>
      <c r="AUD39" s="3"/>
      <c r="AUE39" s="3"/>
      <c r="AUF39" s="3"/>
      <c r="AUG39" s="3"/>
      <c r="AUH39" s="3"/>
      <c r="AUI39" s="3"/>
      <c r="AUJ39" s="3"/>
      <c r="AUK39" s="3"/>
      <c r="AUL39" s="3"/>
      <c r="AUM39" s="3"/>
      <c r="AUN39" s="3"/>
      <c r="AUO39" s="3"/>
      <c r="AUP39" s="3"/>
      <c r="AUQ39" s="3"/>
      <c r="AUR39" s="3"/>
      <c r="AUS39" s="3"/>
      <c r="AUT39" s="3"/>
      <c r="AUU39" s="3"/>
      <c r="AUV39" s="3"/>
      <c r="AUW39" s="3"/>
      <c r="AUX39" s="3"/>
      <c r="AUY39" s="3"/>
      <c r="AUZ39" s="3"/>
      <c r="AVA39" s="3"/>
      <c r="AVB39" s="3"/>
      <c r="AVC39" s="3"/>
      <c r="AVD39" s="3"/>
      <c r="AVE39" s="3"/>
      <c r="AVF39" s="3"/>
      <c r="AVG39" s="3"/>
      <c r="AVH39" s="3"/>
      <c r="AVI39" s="3"/>
      <c r="AVJ39" s="3"/>
      <c r="AVK39" s="3"/>
      <c r="AVL39" s="3"/>
      <c r="AVM39" s="3"/>
      <c r="AVN39" s="3"/>
      <c r="AVO39" s="3"/>
      <c r="AVP39" s="3"/>
      <c r="AVQ39" s="3"/>
      <c r="AVR39" s="3"/>
      <c r="AVS39" s="3"/>
      <c r="AVT39" s="3"/>
      <c r="AVU39" s="3"/>
      <c r="AVV39" s="3"/>
      <c r="AVW39" s="3"/>
      <c r="AVX39" s="3"/>
      <c r="AVY39" s="3"/>
      <c r="AVZ39" s="3"/>
      <c r="AWA39" s="3"/>
      <c r="AWB39" s="3"/>
      <c r="AWC39" s="3"/>
      <c r="AWD39" s="3"/>
      <c r="AWE39" s="3"/>
      <c r="AWF39" s="3"/>
      <c r="AWG39" s="3"/>
      <c r="AWH39" s="3"/>
      <c r="AWI39" s="3"/>
      <c r="AWJ39" s="3"/>
      <c r="AWK39" s="3"/>
      <c r="AWL39" s="3"/>
      <c r="AWM39" s="3"/>
      <c r="AWN39" s="3"/>
      <c r="AWO39" s="3"/>
      <c r="AWP39" s="3"/>
      <c r="AWQ39" s="3"/>
      <c r="AWR39" s="3"/>
      <c r="AWS39" s="3"/>
      <c r="AWT39" s="3"/>
      <c r="AWU39" s="3"/>
      <c r="AWV39" s="3"/>
      <c r="AWW39" s="3"/>
      <c r="AWX39" s="3"/>
      <c r="AWY39" s="3"/>
      <c r="AWZ39" s="3"/>
      <c r="AXA39" s="3"/>
      <c r="AXB39" s="3"/>
      <c r="AXC39" s="3"/>
      <c r="AXD39" s="3"/>
      <c r="AXE39" s="3"/>
      <c r="AXF39" s="3"/>
      <c r="AXG39" s="3"/>
      <c r="AXH39" s="3"/>
      <c r="AXI39" s="3"/>
      <c r="AXJ39" s="3"/>
      <c r="AXK39" s="3"/>
      <c r="AXL39" s="3"/>
      <c r="AXM39" s="3"/>
      <c r="AXN39" s="3"/>
      <c r="AXO39" s="3"/>
      <c r="AXP39" s="3"/>
      <c r="AXQ39" s="3"/>
      <c r="AXR39" s="3"/>
      <c r="AXS39" s="3"/>
      <c r="AXT39" s="3"/>
      <c r="AXU39" s="3"/>
      <c r="AXV39" s="3"/>
      <c r="AXW39" s="3"/>
      <c r="AXX39" s="3"/>
      <c r="AXY39" s="3"/>
      <c r="AXZ39" s="3"/>
      <c r="AYA39" s="3"/>
      <c r="AYB39" s="3"/>
      <c r="AYC39" s="3"/>
      <c r="AYD39" s="3"/>
      <c r="AYE39" s="3"/>
      <c r="AYF39" s="3"/>
      <c r="AYG39" s="3"/>
      <c r="AYH39" s="3"/>
      <c r="AYI39" s="3"/>
      <c r="AYJ39" s="3"/>
      <c r="AYK39" s="3"/>
      <c r="AYL39" s="3"/>
      <c r="AYM39" s="3"/>
      <c r="AYN39" s="3"/>
      <c r="AYO39" s="3"/>
      <c r="AYP39" s="3"/>
      <c r="AYQ39" s="3"/>
      <c r="AYR39" s="3"/>
      <c r="AYS39" s="3"/>
      <c r="AYT39" s="3"/>
      <c r="AYU39" s="3"/>
      <c r="AYV39" s="3"/>
      <c r="AYW39" s="3"/>
      <c r="AYX39" s="3"/>
      <c r="AYY39" s="3"/>
      <c r="AYZ39" s="3"/>
      <c r="AZA39" s="3"/>
      <c r="AZB39" s="3"/>
      <c r="AZC39" s="3"/>
      <c r="AZD39" s="3"/>
      <c r="AZE39" s="3"/>
      <c r="AZF39" s="3"/>
      <c r="AZG39" s="3"/>
      <c r="AZH39" s="3"/>
      <c r="AZI39" s="3"/>
      <c r="AZJ39" s="3"/>
      <c r="AZK39" s="3"/>
      <c r="AZL39" s="3"/>
      <c r="AZM39" s="3"/>
      <c r="AZN39" s="3"/>
      <c r="AZO39" s="3"/>
      <c r="AZP39" s="3"/>
      <c r="AZQ39" s="3"/>
      <c r="AZR39" s="3"/>
      <c r="AZS39" s="3"/>
      <c r="AZT39" s="3"/>
      <c r="AZU39" s="3"/>
      <c r="AZV39" s="3"/>
      <c r="AZW39" s="3"/>
      <c r="AZX39" s="3"/>
      <c r="AZY39" s="3"/>
      <c r="AZZ39" s="3"/>
      <c r="BAA39" s="3"/>
      <c r="BAB39" s="3"/>
      <c r="BAC39" s="3"/>
      <c r="BAD39" s="3"/>
      <c r="BAE39" s="3"/>
      <c r="BAF39" s="3"/>
      <c r="BAG39" s="3"/>
      <c r="BAH39" s="3"/>
      <c r="BAI39" s="3"/>
      <c r="BAJ39" s="3"/>
      <c r="BAK39" s="3"/>
      <c r="BAL39" s="3"/>
      <c r="BAM39" s="3"/>
      <c r="BAN39" s="3"/>
      <c r="BAO39" s="3"/>
      <c r="BAP39" s="3"/>
      <c r="BAQ39" s="3"/>
      <c r="BAR39" s="3"/>
      <c r="BAS39" s="3"/>
      <c r="BAT39" s="3"/>
      <c r="BAU39" s="3"/>
      <c r="BAV39" s="3"/>
      <c r="BAW39" s="3"/>
      <c r="BAX39" s="3"/>
      <c r="BAY39" s="3"/>
      <c r="BAZ39" s="3"/>
      <c r="BBA39" s="3"/>
      <c r="BBB39" s="3"/>
      <c r="BBC39" s="3"/>
      <c r="BBD39" s="3"/>
      <c r="BBE39" s="3"/>
      <c r="BBF39" s="3"/>
      <c r="BBG39" s="3"/>
      <c r="BBH39" s="3"/>
      <c r="BBI39" s="3"/>
      <c r="BBJ39" s="3"/>
      <c r="BBK39" s="3"/>
      <c r="BBL39" s="3"/>
      <c r="BBM39" s="3"/>
      <c r="BBN39" s="3"/>
      <c r="BBO39" s="3"/>
      <c r="BBP39" s="3"/>
      <c r="BBQ39" s="3"/>
      <c r="BBR39" s="3"/>
      <c r="BBS39" s="3"/>
      <c r="BBT39" s="3"/>
      <c r="BBU39" s="3"/>
      <c r="BBV39" s="3"/>
      <c r="BBW39" s="3"/>
      <c r="BBX39" s="3"/>
      <c r="BBY39" s="3"/>
      <c r="BBZ39" s="3"/>
      <c r="BCA39" s="3"/>
      <c r="BCB39" s="3"/>
      <c r="BCC39" s="3"/>
      <c r="BCD39" s="3"/>
      <c r="BCE39" s="3"/>
      <c r="BCF39" s="3"/>
      <c r="BCG39" s="3"/>
      <c r="BCH39" s="3"/>
      <c r="BCI39" s="3"/>
      <c r="BCJ39" s="3"/>
      <c r="BCK39" s="3"/>
      <c r="BCL39" s="3"/>
      <c r="BCM39" s="3"/>
      <c r="BCN39" s="3"/>
      <c r="BCO39" s="3"/>
      <c r="BCP39" s="3"/>
      <c r="BCQ39" s="3"/>
      <c r="BCR39" s="3"/>
      <c r="BCS39" s="3"/>
      <c r="BCT39" s="3"/>
      <c r="BCU39" s="3"/>
      <c r="BCV39" s="3"/>
      <c r="BCW39" s="3"/>
      <c r="BCX39" s="3"/>
      <c r="BCY39" s="3"/>
      <c r="BCZ39" s="3"/>
      <c r="BDA39" s="3"/>
      <c r="BDB39" s="3"/>
      <c r="BDC39" s="3"/>
      <c r="BDD39" s="3"/>
      <c r="BDE39" s="3"/>
      <c r="BDF39" s="3"/>
      <c r="BDG39" s="3"/>
      <c r="BDH39" s="3"/>
      <c r="BDI39" s="3"/>
      <c r="BDJ39" s="3"/>
      <c r="BDK39" s="3"/>
      <c r="BDL39" s="3"/>
      <c r="BDM39" s="3"/>
      <c r="BDN39" s="3"/>
      <c r="BDO39" s="3"/>
      <c r="BDP39" s="3"/>
      <c r="BDQ39" s="3"/>
      <c r="BDR39" s="3"/>
      <c r="BDS39" s="3"/>
      <c r="BDT39" s="3"/>
      <c r="BDU39" s="3"/>
      <c r="BDV39" s="3"/>
      <c r="BDW39" s="3"/>
      <c r="BDX39" s="3"/>
      <c r="BDY39" s="3"/>
      <c r="BDZ39" s="3"/>
      <c r="BEA39" s="3"/>
      <c r="BEB39" s="3"/>
      <c r="BEC39" s="3"/>
      <c r="BED39" s="3"/>
      <c r="BEE39" s="3"/>
      <c r="BEF39" s="3"/>
      <c r="BEG39" s="3"/>
      <c r="BEH39" s="3"/>
      <c r="BEI39" s="3"/>
      <c r="BEJ39" s="3"/>
      <c r="BEK39" s="3"/>
      <c r="BEL39" s="3"/>
      <c r="BEM39" s="3"/>
      <c r="BEN39" s="3"/>
      <c r="BEO39" s="3"/>
      <c r="BEP39" s="3"/>
      <c r="BEQ39" s="3"/>
      <c r="BER39" s="3"/>
      <c r="BES39" s="3"/>
      <c r="BET39" s="3"/>
      <c r="BEU39" s="3"/>
      <c r="BEV39" s="3"/>
      <c r="BEW39" s="3"/>
      <c r="BEX39" s="3"/>
      <c r="BEY39" s="3"/>
      <c r="BEZ39" s="3"/>
      <c r="BFA39" s="3"/>
      <c r="BFB39" s="3"/>
      <c r="BFC39" s="3"/>
      <c r="BFD39" s="3"/>
      <c r="BFE39" s="3"/>
      <c r="BFF39" s="3"/>
      <c r="BFG39" s="3"/>
      <c r="BFH39" s="3"/>
      <c r="BFI39" s="3"/>
      <c r="BFJ39" s="3"/>
      <c r="BFK39" s="3"/>
      <c r="BFL39" s="3"/>
      <c r="BFM39" s="3"/>
      <c r="BFN39" s="3"/>
      <c r="BFO39" s="3"/>
      <c r="BFP39" s="3"/>
      <c r="BFQ39" s="3"/>
      <c r="BFR39" s="3"/>
      <c r="BFS39" s="3"/>
      <c r="BFT39" s="3"/>
      <c r="BFU39" s="3"/>
      <c r="BFV39" s="3"/>
      <c r="BFW39" s="3"/>
      <c r="BFX39" s="3"/>
      <c r="BFY39" s="3"/>
      <c r="BFZ39" s="3"/>
      <c r="BGA39" s="3"/>
      <c r="BGB39" s="3"/>
      <c r="BGC39" s="3"/>
      <c r="BGD39" s="3"/>
      <c r="BGE39" s="3"/>
      <c r="BGF39" s="3"/>
      <c r="BGG39" s="3"/>
      <c r="BGH39" s="3"/>
      <c r="BGI39" s="3"/>
      <c r="BGJ39" s="3"/>
      <c r="BGK39" s="3"/>
      <c r="BGL39" s="3"/>
      <c r="BGM39" s="3"/>
      <c r="BGN39" s="3"/>
      <c r="BGO39" s="3"/>
      <c r="BGP39" s="3"/>
      <c r="BGQ39" s="3"/>
      <c r="BGR39" s="3"/>
      <c r="BGS39" s="3"/>
      <c r="BGT39" s="3"/>
      <c r="BGU39" s="3"/>
      <c r="BGV39" s="3"/>
      <c r="BGW39" s="3"/>
      <c r="BGX39" s="3"/>
      <c r="BGY39" s="3"/>
      <c r="BGZ39" s="3"/>
      <c r="BHA39" s="3"/>
      <c r="BHB39" s="3"/>
      <c r="BHC39" s="3"/>
      <c r="BHD39" s="3"/>
      <c r="BHE39" s="3"/>
      <c r="BHF39" s="3"/>
      <c r="BHG39" s="3"/>
      <c r="BHH39" s="3"/>
      <c r="BHI39" s="3"/>
      <c r="BHJ39" s="3"/>
      <c r="BHK39" s="3"/>
      <c r="BHL39" s="3"/>
      <c r="BHM39" s="3"/>
      <c r="BHN39" s="3"/>
      <c r="BHO39" s="3"/>
      <c r="BHP39" s="3"/>
      <c r="BHQ39" s="3"/>
      <c r="BHR39" s="3"/>
      <c r="BHS39" s="3"/>
      <c r="BHT39" s="3"/>
      <c r="BHU39" s="3"/>
      <c r="BHV39" s="3"/>
      <c r="BHW39" s="3"/>
      <c r="BHX39" s="3"/>
      <c r="BHY39" s="3"/>
      <c r="BHZ39" s="3"/>
      <c r="BIA39" s="3"/>
      <c r="BIB39" s="3"/>
      <c r="BIC39" s="3"/>
      <c r="BID39" s="3"/>
      <c r="BIE39" s="3"/>
      <c r="BIF39" s="3"/>
      <c r="BIG39" s="3"/>
      <c r="BIH39" s="3"/>
      <c r="BII39" s="3"/>
      <c r="BIJ39" s="3"/>
      <c r="BIK39" s="3"/>
      <c r="BIL39" s="3"/>
      <c r="BIM39" s="3"/>
      <c r="BIN39" s="3"/>
      <c r="BIO39" s="3"/>
      <c r="BIP39" s="3"/>
      <c r="BIQ39" s="3"/>
      <c r="BIR39" s="3"/>
      <c r="BIS39" s="3"/>
      <c r="BIT39" s="3"/>
      <c r="BIU39" s="3"/>
      <c r="BIV39" s="3"/>
      <c r="BIW39" s="3"/>
      <c r="BIX39" s="3"/>
      <c r="BIY39" s="3"/>
      <c r="BIZ39" s="3"/>
      <c r="BJA39" s="3"/>
      <c r="BJB39" s="3"/>
      <c r="BJC39" s="3"/>
      <c r="BJD39" s="3"/>
      <c r="BJE39" s="3"/>
      <c r="BJF39" s="3"/>
      <c r="BJG39" s="3"/>
      <c r="BJH39" s="3"/>
      <c r="BJI39" s="3"/>
      <c r="BJJ39" s="3"/>
      <c r="BJK39" s="3"/>
      <c r="BJL39" s="3"/>
      <c r="BJM39" s="3"/>
      <c r="BJN39" s="3"/>
      <c r="BJO39" s="3"/>
      <c r="BJP39" s="3"/>
      <c r="BJQ39" s="3"/>
      <c r="BJR39" s="3"/>
      <c r="BJS39" s="3"/>
      <c r="BJT39" s="3"/>
      <c r="BJU39" s="3"/>
      <c r="BJV39" s="3"/>
      <c r="BJW39" s="3"/>
      <c r="BJX39" s="3"/>
      <c r="BJY39" s="3"/>
      <c r="BJZ39" s="3"/>
      <c r="BKA39" s="3"/>
      <c r="BKB39" s="3"/>
      <c r="BKC39" s="3"/>
      <c r="BKD39" s="3"/>
      <c r="BKE39" s="3"/>
      <c r="BKF39" s="3"/>
      <c r="BKG39" s="3"/>
      <c r="BKH39" s="3"/>
      <c r="BKI39" s="3"/>
      <c r="BKJ39" s="3"/>
      <c r="BKK39" s="3"/>
      <c r="BKL39" s="3"/>
      <c r="BKM39" s="3"/>
      <c r="BKN39" s="3"/>
      <c r="BKO39" s="3"/>
      <c r="BKP39" s="3"/>
      <c r="BKQ39" s="3"/>
      <c r="BKR39" s="3"/>
      <c r="BKS39" s="3"/>
      <c r="BKT39" s="3"/>
      <c r="BKU39" s="3"/>
      <c r="BKV39" s="3"/>
      <c r="BKW39" s="3"/>
      <c r="BKX39" s="3"/>
      <c r="BKY39" s="3"/>
      <c r="BKZ39" s="3"/>
      <c r="BLA39" s="3"/>
      <c r="BLB39" s="3"/>
      <c r="BLC39" s="3"/>
      <c r="BLD39" s="3"/>
      <c r="BLE39" s="3"/>
      <c r="BLF39" s="3"/>
      <c r="BLG39" s="3"/>
      <c r="BLH39" s="3"/>
      <c r="BLI39" s="3"/>
      <c r="BLJ39" s="3"/>
      <c r="BLK39" s="3"/>
      <c r="BLL39" s="3"/>
      <c r="BLM39" s="3"/>
      <c r="BLN39" s="3"/>
      <c r="BLO39" s="3"/>
      <c r="BLP39" s="3"/>
      <c r="BLQ39" s="3"/>
      <c r="BLR39" s="3"/>
      <c r="BLS39" s="3"/>
      <c r="BLT39" s="3"/>
      <c r="BLU39" s="3"/>
      <c r="BLV39" s="3"/>
      <c r="BLW39" s="3"/>
      <c r="BLX39" s="3"/>
      <c r="BLY39" s="3"/>
      <c r="BLZ39" s="3"/>
      <c r="BMA39" s="3"/>
      <c r="BMB39" s="3"/>
      <c r="BMC39" s="3"/>
      <c r="BMD39" s="3"/>
      <c r="BME39" s="3"/>
      <c r="BMF39" s="3"/>
      <c r="BMG39" s="3"/>
      <c r="BMH39" s="3"/>
      <c r="BMI39" s="3"/>
      <c r="BMJ39" s="3"/>
      <c r="BMK39" s="3"/>
      <c r="BML39" s="3"/>
      <c r="BMM39" s="3"/>
      <c r="BMN39" s="3"/>
      <c r="BMO39" s="3"/>
      <c r="BMP39" s="3"/>
      <c r="BMQ39" s="3"/>
      <c r="BMR39" s="3"/>
      <c r="BMS39" s="3"/>
      <c r="BMT39" s="3"/>
      <c r="BMU39" s="3"/>
      <c r="BMV39" s="3"/>
      <c r="BMW39" s="3"/>
      <c r="BMX39" s="3"/>
      <c r="BMY39" s="3"/>
      <c r="BMZ39" s="3"/>
      <c r="BNA39" s="3"/>
      <c r="BNB39" s="3"/>
      <c r="BNC39" s="3"/>
      <c r="BND39" s="3"/>
      <c r="BNE39" s="3"/>
      <c r="BNF39" s="3"/>
      <c r="BNG39" s="3"/>
      <c r="BNH39" s="3"/>
      <c r="BNI39" s="3"/>
      <c r="BNJ39" s="3"/>
      <c r="BNK39" s="3"/>
      <c r="BNL39" s="3"/>
      <c r="BNM39" s="3"/>
      <c r="BNN39" s="3"/>
      <c r="BNO39" s="3"/>
      <c r="BNP39" s="3"/>
      <c r="BNQ39" s="3"/>
      <c r="BNR39" s="3"/>
      <c r="BNS39" s="3"/>
      <c r="BNT39" s="3"/>
      <c r="BNU39" s="3"/>
      <c r="BNV39" s="3"/>
      <c r="BNW39" s="3"/>
      <c r="BNX39" s="3"/>
      <c r="BNY39" s="3"/>
      <c r="BNZ39" s="3"/>
      <c r="BOA39" s="3"/>
      <c r="BOB39" s="3"/>
      <c r="BOC39" s="3"/>
      <c r="BOD39" s="3"/>
      <c r="BOE39" s="3"/>
      <c r="BOF39" s="3"/>
      <c r="BOG39" s="3"/>
      <c r="BOH39" s="3"/>
      <c r="BOI39" s="3"/>
      <c r="BOJ39" s="3"/>
      <c r="BOK39" s="3"/>
      <c r="BOL39" s="3"/>
      <c r="BOM39" s="3"/>
      <c r="BON39" s="3"/>
      <c r="BOO39" s="3"/>
      <c r="BOP39" s="3"/>
      <c r="BOQ39" s="3"/>
      <c r="BOR39" s="3"/>
      <c r="BOS39" s="3"/>
      <c r="BOT39" s="3"/>
      <c r="BOU39" s="3"/>
      <c r="BOV39" s="3"/>
      <c r="BOW39" s="3"/>
      <c r="BOX39" s="3"/>
      <c r="BOY39" s="3"/>
      <c r="BOZ39" s="3"/>
      <c r="BPA39" s="3"/>
      <c r="BPB39" s="3"/>
      <c r="BPC39" s="3"/>
      <c r="BPD39" s="3"/>
      <c r="BPE39" s="3"/>
      <c r="BPF39" s="3"/>
      <c r="BPG39" s="3"/>
      <c r="BPH39" s="3"/>
      <c r="BPI39" s="3"/>
      <c r="BPJ39" s="3"/>
      <c r="BPK39" s="3"/>
      <c r="BPL39" s="3"/>
      <c r="BPM39" s="3"/>
      <c r="BPN39" s="3"/>
      <c r="BPO39" s="3"/>
      <c r="BPP39" s="3"/>
      <c r="BPQ39" s="3"/>
      <c r="BPR39" s="3"/>
      <c r="BPS39" s="3"/>
      <c r="BPT39" s="3"/>
      <c r="BPU39" s="3"/>
      <c r="BPV39" s="3"/>
      <c r="BPW39" s="3"/>
      <c r="BPX39" s="3"/>
      <c r="BPY39" s="3"/>
      <c r="BPZ39" s="3"/>
      <c r="BQA39" s="3"/>
      <c r="BQB39" s="3"/>
      <c r="BQC39" s="3"/>
      <c r="BQD39" s="3"/>
      <c r="BQE39" s="3"/>
      <c r="BQF39" s="3"/>
      <c r="BQG39" s="3"/>
      <c r="BQH39" s="3"/>
      <c r="BQI39" s="3"/>
      <c r="BQJ39" s="3"/>
      <c r="BQK39" s="3"/>
      <c r="BQL39" s="3"/>
      <c r="BQM39" s="3"/>
      <c r="BQN39" s="3"/>
      <c r="BQO39" s="3"/>
      <c r="BQP39" s="3"/>
      <c r="BQQ39" s="3"/>
      <c r="BQR39" s="3"/>
      <c r="BQS39" s="3"/>
      <c r="BQT39" s="3"/>
      <c r="BQU39" s="3"/>
      <c r="BQV39" s="3"/>
      <c r="BQW39" s="3"/>
      <c r="BQX39" s="3"/>
      <c r="BQY39" s="3"/>
      <c r="BQZ39" s="3"/>
      <c r="BRA39" s="3"/>
      <c r="BRB39" s="3"/>
      <c r="BRC39" s="3"/>
      <c r="BRD39" s="3"/>
      <c r="BRE39" s="3"/>
      <c r="BRF39" s="3"/>
      <c r="BRG39" s="3"/>
      <c r="BRH39" s="3"/>
      <c r="BRI39" s="3"/>
      <c r="BRJ39" s="3"/>
      <c r="BRK39" s="3"/>
      <c r="BRL39" s="3"/>
      <c r="BRM39" s="3"/>
      <c r="BRN39" s="3"/>
      <c r="BRO39" s="3"/>
      <c r="BRP39" s="3"/>
      <c r="BRQ39" s="3"/>
      <c r="BRR39" s="3"/>
      <c r="BRS39" s="3"/>
      <c r="BRT39" s="3"/>
      <c r="BRU39" s="3"/>
      <c r="BRV39" s="3"/>
      <c r="BRW39" s="3"/>
      <c r="BRX39" s="3"/>
      <c r="BRY39" s="3"/>
      <c r="BRZ39" s="3"/>
      <c r="BSA39" s="3"/>
      <c r="BSB39" s="3"/>
      <c r="BSC39" s="3"/>
      <c r="BSD39" s="3"/>
      <c r="BSE39" s="3"/>
      <c r="BSF39" s="3"/>
      <c r="BSG39" s="3"/>
      <c r="BSH39" s="3"/>
      <c r="BSI39" s="3"/>
      <c r="BSJ39" s="3"/>
      <c r="BSK39" s="3"/>
      <c r="BSL39" s="3"/>
      <c r="BSM39" s="3"/>
      <c r="BSN39" s="3"/>
      <c r="BSO39" s="3"/>
      <c r="BSP39" s="3"/>
      <c r="BSQ39" s="3"/>
      <c r="BSR39" s="3"/>
      <c r="BSS39" s="3"/>
      <c r="BST39" s="3"/>
      <c r="BSU39" s="3"/>
      <c r="BSV39" s="3"/>
      <c r="BSW39" s="3"/>
      <c r="BSX39" s="3"/>
      <c r="BSY39" s="3"/>
      <c r="BSZ39" s="3"/>
      <c r="BTA39" s="3"/>
      <c r="BTB39" s="3"/>
      <c r="BTC39" s="3"/>
      <c r="BTD39" s="3"/>
      <c r="BTE39" s="3"/>
      <c r="BTF39" s="3"/>
      <c r="BTG39" s="3"/>
      <c r="BTH39" s="3"/>
      <c r="BTI39" s="3"/>
      <c r="BTJ39" s="3"/>
      <c r="BTK39" s="3"/>
      <c r="BTL39" s="3"/>
      <c r="BTM39" s="3"/>
      <c r="BTN39" s="3"/>
      <c r="BTO39" s="3"/>
      <c r="BTP39" s="3"/>
      <c r="BTQ39" s="3"/>
      <c r="BTR39" s="3"/>
      <c r="BTS39" s="3"/>
      <c r="BTT39" s="3"/>
      <c r="BTU39" s="3"/>
      <c r="BTV39" s="3"/>
      <c r="BTW39" s="3"/>
      <c r="BTX39" s="3"/>
      <c r="BTY39" s="3"/>
      <c r="BTZ39" s="3"/>
      <c r="BUA39" s="3"/>
      <c r="BUB39" s="3"/>
      <c r="BUC39" s="3"/>
      <c r="BUD39" s="3"/>
      <c r="BUE39" s="3"/>
      <c r="BUF39" s="3"/>
      <c r="BUG39" s="3"/>
      <c r="BUH39" s="3"/>
      <c r="BUI39" s="3"/>
      <c r="BUJ39" s="3"/>
      <c r="BUK39" s="3"/>
      <c r="BUL39" s="3"/>
      <c r="BUM39" s="3"/>
      <c r="BUN39" s="3"/>
      <c r="BUO39" s="3"/>
      <c r="BUP39" s="3"/>
      <c r="BUQ39" s="3"/>
      <c r="BUR39" s="3"/>
      <c r="BUS39" s="3"/>
      <c r="BUT39" s="3"/>
      <c r="BUU39" s="3"/>
      <c r="BUV39" s="3"/>
      <c r="BUW39" s="3"/>
      <c r="BUX39" s="3"/>
      <c r="BUY39" s="3"/>
      <c r="BUZ39" s="3"/>
      <c r="BVA39" s="3"/>
      <c r="BVB39" s="3"/>
      <c r="BVC39" s="3"/>
      <c r="BVD39" s="3"/>
      <c r="BVE39" s="3"/>
      <c r="BVF39" s="3"/>
      <c r="BVG39" s="3"/>
      <c r="BVH39" s="3"/>
      <c r="BVI39" s="3"/>
      <c r="BVJ39" s="3"/>
      <c r="BVK39" s="3"/>
      <c r="BVL39" s="3"/>
      <c r="BVM39" s="3"/>
      <c r="BVN39" s="3"/>
      <c r="BVO39" s="3"/>
      <c r="BVP39" s="3"/>
      <c r="BVQ39" s="3"/>
      <c r="BVR39" s="3"/>
      <c r="BVS39" s="3"/>
      <c r="BVT39" s="3"/>
      <c r="BVU39" s="3"/>
      <c r="BVV39" s="3"/>
      <c r="BVW39" s="3"/>
      <c r="BVX39" s="3"/>
      <c r="BVY39" s="3"/>
      <c r="BVZ39" s="3"/>
      <c r="BWA39" s="3"/>
      <c r="BWB39" s="3"/>
      <c r="BWC39" s="3"/>
      <c r="BWD39" s="3"/>
      <c r="BWE39" s="3"/>
      <c r="BWF39" s="3"/>
      <c r="BWG39" s="3"/>
      <c r="BWH39" s="3"/>
      <c r="BWI39" s="3"/>
      <c r="BWJ39" s="3"/>
      <c r="BWK39" s="3"/>
      <c r="BWL39" s="3"/>
      <c r="BWM39" s="3"/>
      <c r="BWN39" s="3"/>
      <c r="BWO39" s="3"/>
      <c r="BWP39" s="3"/>
      <c r="BWQ39" s="3"/>
      <c r="BWR39" s="3"/>
      <c r="BWS39" s="3"/>
      <c r="BWT39" s="3"/>
      <c r="BWU39" s="3"/>
      <c r="BWV39" s="3"/>
      <c r="BWW39" s="3"/>
      <c r="BWX39" s="3"/>
      <c r="BWY39" s="3"/>
      <c r="BWZ39" s="3"/>
      <c r="BXA39" s="3"/>
      <c r="BXB39" s="3"/>
      <c r="BXC39" s="3"/>
      <c r="BXD39" s="3"/>
      <c r="BXE39" s="3"/>
      <c r="BXF39" s="3"/>
      <c r="BXG39" s="3"/>
      <c r="BXH39" s="3"/>
      <c r="BXI39" s="3"/>
      <c r="BXJ39" s="3"/>
      <c r="BXK39" s="3"/>
      <c r="BXL39" s="3"/>
      <c r="BXM39" s="3"/>
      <c r="BXN39" s="3"/>
      <c r="BXO39" s="3"/>
      <c r="BXP39" s="3"/>
      <c r="BXQ39" s="3"/>
      <c r="BXR39" s="3"/>
      <c r="BXS39" s="3"/>
      <c r="BXT39" s="3"/>
      <c r="BXU39" s="3"/>
      <c r="BXV39" s="3"/>
      <c r="BXW39" s="3"/>
      <c r="BXX39" s="3"/>
      <c r="BXY39" s="3"/>
      <c r="BXZ39" s="3"/>
      <c r="BYA39" s="3"/>
      <c r="BYB39" s="3"/>
      <c r="BYC39" s="3"/>
      <c r="BYD39" s="3"/>
      <c r="BYE39" s="3"/>
      <c r="BYF39" s="3"/>
      <c r="BYG39" s="3"/>
    </row>
    <row r="40" spans="1:2009" s="85" customFormat="1" ht="24.95" customHeight="1" x14ac:dyDescent="0.25">
      <c r="A40" s="112"/>
      <c r="B40" s="86" t="s">
        <v>326</v>
      </c>
      <c r="C40" s="155">
        <v>1500</v>
      </c>
      <c r="D40" s="155">
        <v>4500</v>
      </c>
      <c r="E40" s="156"/>
      <c r="F40" s="156"/>
      <c r="G40" s="524">
        <f>ROUND(SUM(C40:F40),5)</f>
        <v>6000</v>
      </c>
      <c r="H40" s="3"/>
      <c r="I40" s="26"/>
      <c r="J40" s="3"/>
      <c r="K40" s="3"/>
      <c r="L40" s="3"/>
      <c r="M40" s="3"/>
      <c r="N40" s="169"/>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c r="AMH40" s="3"/>
      <c r="AMI40" s="3"/>
      <c r="AMJ40" s="3"/>
      <c r="AMK40" s="3"/>
      <c r="AML40" s="3"/>
      <c r="AMM40" s="3"/>
      <c r="AMN40" s="3"/>
      <c r="AMO40" s="3"/>
      <c r="AMP40" s="3"/>
      <c r="AMQ40" s="3"/>
      <c r="AMR40" s="3"/>
      <c r="AMS40" s="3"/>
      <c r="AMT40" s="3"/>
      <c r="AMU40" s="3"/>
      <c r="AMV40" s="3"/>
      <c r="AMW40" s="3"/>
      <c r="AMX40" s="3"/>
      <c r="AMY40" s="3"/>
      <c r="AMZ40" s="3"/>
      <c r="ANA40" s="3"/>
      <c r="ANB40" s="3"/>
      <c r="ANC40" s="3"/>
      <c r="AND40" s="3"/>
      <c r="ANE40" s="3"/>
      <c r="ANF40" s="3"/>
      <c r="ANG40" s="3"/>
      <c r="ANH40" s="3"/>
      <c r="ANI40" s="3"/>
      <c r="ANJ40" s="3"/>
      <c r="ANK40" s="3"/>
      <c r="ANL40" s="3"/>
      <c r="ANM40" s="3"/>
      <c r="ANN40" s="3"/>
      <c r="ANO40" s="3"/>
      <c r="ANP40" s="3"/>
      <c r="ANQ40" s="3"/>
      <c r="ANR40" s="3"/>
      <c r="ANS40" s="3"/>
      <c r="ANT40" s="3"/>
      <c r="ANU40" s="3"/>
      <c r="ANV40" s="3"/>
      <c r="ANW40" s="3"/>
      <c r="ANX40" s="3"/>
      <c r="ANY40" s="3"/>
      <c r="ANZ40" s="3"/>
      <c r="AOA40" s="3"/>
      <c r="AOB40" s="3"/>
      <c r="AOC40" s="3"/>
      <c r="AOD40" s="3"/>
      <c r="AOE40" s="3"/>
      <c r="AOF40" s="3"/>
      <c r="AOG40" s="3"/>
      <c r="AOH40" s="3"/>
      <c r="AOI40" s="3"/>
      <c r="AOJ40" s="3"/>
      <c r="AOK40" s="3"/>
      <c r="AOL40" s="3"/>
      <c r="AOM40" s="3"/>
      <c r="AON40" s="3"/>
      <c r="AOO40" s="3"/>
      <c r="AOP40" s="3"/>
      <c r="AOQ40" s="3"/>
      <c r="AOR40" s="3"/>
      <c r="AOS40" s="3"/>
      <c r="AOT40" s="3"/>
      <c r="AOU40" s="3"/>
      <c r="AOV40" s="3"/>
      <c r="AOW40" s="3"/>
      <c r="AOX40" s="3"/>
      <c r="AOY40" s="3"/>
      <c r="AOZ40" s="3"/>
      <c r="APA40" s="3"/>
      <c r="APB40" s="3"/>
      <c r="APC40" s="3"/>
      <c r="APD40" s="3"/>
      <c r="APE40" s="3"/>
      <c r="APF40" s="3"/>
      <c r="APG40" s="3"/>
      <c r="APH40" s="3"/>
      <c r="API40" s="3"/>
      <c r="APJ40" s="3"/>
      <c r="APK40" s="3"/>
      <c r="APL40" s="3"/>
      <c r="APM40" s="3"/>
      <c r="APN40" s="3"/>
      <c r="APO40" s="3"/>
      <c r="APP40" s="3"/>
      <c r="APQ40" s="3"/>
      <c r="APR40" s="3"/>
      <c r="APS40" s="3"/>
      <c r="APT40" s="3"/>
      <c r="APU40" s="3"/>
      <c r="APV40" s="3"/>
      <c r="APW40" s="3"/>
      <c r="APX40" s="3"/>
      <c r="APY40" s="3"/>
      <c r="APZ40" s="3"/>
      <c r="AQA40" s="3"/>
      <c r="AQB40" s="3"/>
      <c r="AQC40" s="3"/>
      <c r="AQD40" s="3"/>
      <c r="AQE40" s="3"/>
      <c r="AQF40" s="3"/>
      <c r="AQG40" s="3"/>
      <c r="AQH40" s="3"/>
      <c r="AQI40" s="3"/>
      <c r="AQJ40" s="3"/>
      <c r="AQK40" s="3"/>
      <c r="AQL40" s="3"/>
      <c r="AQM40" s="3"/>
      <c r="AQN40" s="3"/>
      <c r="AQO40" s="3"/>
      <c r="AQP40" s="3"/>
      <c r="AQQ40" s="3"/>
      <c r="AQR40" s="3"/>
      <c r="AQS40" s="3"/>
      <c r="AQT40" s="3"/>
      <c r="AQU40" s="3"/>
      <c r="AQV40" s="3"/>
      <c r="AQW40" s="3"/>
      <c r="AQX40" s="3"/>
      <c r="AQY40" s="3"/>
      <c r="AQZ40" s="3"/>
      <c r="ARA40" s="3"/>
      <c r="ARB40" s="3"/>
      <c r="ARC40" s="3"/>
      <c r="ARD40" s="3"/>
      <c r="ARE40" s="3"/>
      <c r="ARF40" s="3"/>
      <c r="ARG40" s="3"/>
      <c r="ARH40" s="3"/>
      <c r="ARI40" s="3"/>
      <c r="ARJ40" s="3"/>
      <c r="ARK40" s="3"/>
      <c r="ARL40" s="3"/>
      <c r="ARM40" s="3"/>
      <c r="ARN40" s="3"/>
      <c r="ARO40" s="3"/>
      <c r="ARP40" s="3"/>
      <c r="ARQ40" s="3"/>
      <c r="ARR40" s="3"/>
      <c r="ARS40" s="3"/>
      <c r="ART40" s="3"/>
      <c r="ARU40" s="3"/>
      <c r="ARV40" s="3"/>
      <c r="ARW40" s="3"/>
      <c r="ARX40" s="3"/>
      <c r="ARY40" s="3"/>
      <c r="ARZ40" s="3"/>
      <c r="ASA40" s="3"/>
      <c r="ASB40" s="3"/>
      <c r="ASC40" s="3"/>
      <c r="ASD40" s="3"/>
      <c r="ASE40" s="3"/>
      <c r="ASF40" s="3"/>
      <c r="ASG40" s="3"/>
      <c r="ASH40" s="3"/>
      <c r="ASI40" s="3"/>
      <c r="ASJ40" s="3"/>
      <c r="ASK40" s="3"/>
      <c r="ASL40" s="3"/>
      <c r="ASM40" s="3"/>
      <c r="ASN40" s="3"/>
      <c r="ASO40" s="3"/>
      <c r="ASP40" s="3"/>
      <c r="ASQ40" s="3"/>
      <c r="ASR40" s="3"/>
      <c r="ASS40" s="3"/>
      <c r="AST40" s="3"/>
      <c r="ASU40" s="3"/>
      <c r="ASV40" s="3"/>
      <c r="ASW40" s="3"/>
      <c r="ASX40" s="3"/>
      <c r="ASY40" s="3"/>
      <c r="ASZ40" s="3"/>
      <c r="ATA40" s="3"/>
      <c r="ATB40" s="3"/>
      <c r="ATC40" s="3"/>
      <c r="ATD40" s="3"/>
      <c r="ATE40" s="3"/>
      <c r="ATF40" s="3"/>
      <c r="ATG40" s="3"/>
      <c r="ATH40" s="3"/>
      <c r="ATI40" s="3"/>
      <c r="ATJ40" s="3"/>
      <c r="ATK40" s="3"/>
      <c r="ATL40" s="3"/>
      <c r="ATM40" s="3"/>
      <c r="ATN40" s="3"/>
      <c r="ATO40" s="3"/>
      <c r="ATP40" s="3"/>
      <c r="ATQ40" s="3"/>
      <c r="ATR40" s="3"/>
      <c r="ATS40" s="3"/>
      <c r="ATT40" s="3"/>
      <c r="ATU40" s="3"/>
      <c r="ATV40" s="3"/>
      <c r="ATW40" s="3"/>
      <c r="ATX40" s="3"/>
      <c r="ATY40" s="3"/>
      <c r="ATZ40" s="3"/>
      <c r="AUA40" s="3"/>
      <c r="AUB40" s="3"/>
      <c r="AUC40" s="3"/>
      <c r="AUD40" s="3"/>
      <c r="AUE40" s="3"/>
      <c r="AUF40" s="3"/>
      <c r="AUG40" s="3"/>
      <c r="AUH40" s="3"/>
      <c r="AUI40" s="3"/>
      <c r="AUJ40" s="3"/>
      <c r="AUK40" s="3"/>
      <c r="AUL40" s="3"/>
      <c r="AUM40" s="3"/>
      <c r="AUN40" s="3"/>
      <c r="AUO40" s="3"/>
      <c r="AUP40" s="3"/>
      <c r="AUQ40" s="3"/>
      <c r="AUR40" s="3"/>
      <c r="AUS40" s="3"/>
      <c r="AUT40" s="3"/>
      <c r="AUU40" s="3"/>
      <c r="AUV40" s="3"/>
      <c r="AUW40" s="3"/>
      <c r="AUX40" s="3"/>
      <c r="AUY40" s="3"/>
      <c r="AUZ40" s="3"/>
      <c r="AVA40" s="3"/>
      <c r="AVB40" s="3"/>
      <c r="AVC40" s="3"/>
      <c r="AVD40" s="3"/>
      <c r="AVE40" s="3"/>
      <c r="AVF40" s="3"/>
      <c r="AVG40" s="3"/>
      <c r="AVH40" s="3"/>
      <c r="AVI40" s="3"/>
      <c r="AVJ40" s="3"/>
      <c r="AVK40" s="3"/>
      <c r="AVL40" s="3"/>
      <c r="AVM40" s="3"/>
      <c r="AVN40" s="3"/>
      <c r="AVO40" s="3"/>
      <c r="AVP40" s="3"/>
      <c r="AVQ40" s="3"/>
      <c r="AVR40" s="3"/>
      <c r="AVS40" s="3"/>
      <c r="AVT40" s="3"/>
      <c r="AVU40" s="3"/>
      <c r="AVV40" s="3"/>
      <c r="AVW40" s="3"/>
      <c r="AVX40" s="3"/>
      <c r="AVY40" s="3"/>
      <c r="AVZ40" s="3"/>
      <c r="AWA40" s="3"/>
      <c r="AWB40" s="3"/>
      <c r="AWC40" s="3"/>
      <c r="AWD40" s="3"/>
      <c r="AWE40" s="3"/>
      <c r="AWF40" s="3"/>
      <c r="AWG40" s="3"/>
      <c r="AWH40" s="3"/>
      <c r="AWI40" s="3"/>
      <c r="AWJ40" s="3"/>
      <c r="AWK40" s="3"/>
      <c r="AWL40" s="3"/>
      <c r="AWM40" s="3"/>
      <c r="AWN40" s="3"/>
      <c r="AWO40" s="3"/>
      <c r="AWP40" s="3"/>
      <c r="AWQ40" s="3"/>
      <c r="AWR40" s="3"/>
      <c r="AWS40" s="3"/>
      <c r="AWT40" s="3"/>
      <c r="AWU40" s="3"/>
      <c r="AWV40" s="3"/>
      <c r="AWW40" s="3"/>
      <c r="AWX40" s="3"/>
      <c r="AWY40" s="3"/>
      <c r="AWZ40" s="3"/>
      <c r="AXA40" s="3"/>
      <c r="AXB40" s="3"/>
      <c r="AXC40" s="3"/>
      <c r="AXD40" s="3"/>
      <c r="AXE40" s="3"/>
      <c r="AXF40" s="3"/>
      <c r="AXG40" s="3"/>
      <c r="AXH40" s="3"/>
      <c r="AXI40" s="3"/>
      <c r="AXJ40" s="3"/>
      <c r="AXK40" s="3"/>
      <c r="AXL40" s="3"/>
      <c r="AXM40" s="3"/>
      <c r="AXN40" s="3"/>
      <c r="AXO40" s="3"/>
      <c r="AXP40" s="3"/>
      <c r="AXQ40" s="3"/>
      <c r="AXR40" s="3"/>
      <c r="AXS40" s="3"/>
      <c r="AXT40" s="3"/>
      <c r="AXU40" s="3"/>
      <c r="AXV40" s="3"/>
      <c r="AXW40" s="3"/>
      <c r="AXX40" s="3"/>
      <c r="AXY40" s="3"/>
      <c r="AXZ40" s="3"/>
      <c r="AYA40" s="3"/>
      <c r="AYB40" s="3"/>
      <c r="AYC40" s="3"/>
      <c r="AYD40" s="3"/>
      <c r="AYE40" s="3"/>
      <c r="AYF40" s="3"/>
      <c r="AYG40" s="3"/>
      <c r="AYH40" s="3"/>
      <c r="AYI40" s="3"/>
      <c r="AYJ40" s="3"/>
      <c r="AYK40" s="3"/>
      <c r="AYL40" s="3"/>
      <c r="AYM40" s="3"/>
      <c r="AYN40" s="3"/>
      <c r="AYO40" s="3"/>
      <c r="AYP40" s="3"/>
      <c r="AYQ40" s="3"/>
      <c r="AYR40" s="3"/>
      <c r="AYS40" s="3"/>
      <c r="AYT40" s="3"/>
      <c r="AYU40" s="3"/>
      <c r="AYV40" s="3"/>
      <c r="AYW40" s="3"/>
      <c r="AYX40" s="3"/>
      <c r="AYY40" s="3"/>
      <c r="AYZ40" s="3"/>
      <c r="AZA40" s="3"/>
      <c r="AZB40" s="3"/>
      <c r="AZC40" s="3"/>
      <c r="AZD40" s="3"/>
      <c r="AZE40" s="3"/>
      <c r="AZF40" s="3"/>
      <c r="AZG40" s="3"/>
      <c r="AZH40" s="3"/>
      <c r="AZI40" s="3"/>
      <c r="AZJ40" s="3"/>
      <c r="AZK40" s="3"/>
      <c r="AZL40" s="3"/>
      <c r="AZM40" s="3"/>
      <c r="AZN40" s="3"/>
      <c r="AZO40" s="3"/>
      <c r="AZP40" s="3"/>
      <c r="AZQ40" s="3"/>
      <c r="AZR40" s="3"/>
      <c r="AZS40" s="3"/>
      <c r="AZT40" s="3"/>
      <c r="AZU40" s="3"/>
      <c r="AZV40" s="3"/>
      <c r="AZW40" s="3"/>
      <c r="AZX40" s="3"/>
      <c r="AZY40" s="3"/>
      <c r="AZZ40" s="3"/>
      <c r="BAA40" s="3"/>
      <c r="BAB40" s="3"/>
      <c r="BAC40" s="3"/>
      <c r="BAD40" s="3"/>
      <c r="BAE40" s="3"/>
      <c r="BAF40" s="3"/>
      <c r="BAG40" s="3"/>
      <c r="BAH40" s="3"/>
      <c r="BAI40" s="3"/>
      <c r="BAJ40" s="3"/>
      <c r="BAK40" s="3"/>
      <c r="BAL40" s="3"/>
      <c r="BAM40" s="3"/>
      <c r="BAN40" s="3"/>
      <c r="BAO40" s="3"/>
      <c r="BAP40" s="3"/>
      <c r="BAQ40" s="3"/>
      <c r="BAR40" s="3"/>
      <c r="BAS40" s="3"/>
      <c r="BAT40" s="3"/>
      <c r="BAU40" s="3"/>
      <c r="BAV40" s="3"/>
      <c r="BAW40" s="3"/>
      <c r="BAX40" s="3"/>
      <c r="BAY40" s="3"/>
      <c r="BAZ40" s="3"/>
      <c r="BBA40" s="3"/>
      <c r="BBB40" s="3"/>
      <c r="BBC40" s="3"/>
      <c r="BBD40" s="3"/>
      <c r="BBE40" s="3"/>
      <c r="BBF40" s="3"/>
      <c r="BBG40" s="3"/>
      <c r="BBH40" s="3"/>
      <c r="BBI40" s="3"/>
      <c r="BBJ40" s="3"/>
      <c r="BBK40" s="3"/>
      <c r="BBL40" s="3"/>
      <c r="BBM40" s="3"/>
      <c r="BBN40" s="3"/>
      <c r="BBO40" s="3"/>
      <c r="BBP40" s="3"/>
      <c r="BBQ40" s="3"/>
      <c r="BBR40" s="3"/>
      <c r="BBS40" s="3"/>
      <c r="BBT40" s="3"/>
      <c r="BBU40" s="3"/>
      <c r="BBV40" s="3"/>
      <c r="BBW40" s="3"/>
      <c r="BBX40" s="3"/>
      <c r="BBY40" s="3"/>
      <c r="BBZ40" s="3"/>
      <c r="BCA40" s="3"/>
      <c r="BCB40" s="3"/>
      <c r="BCC40" s="3"/>
      <c r="BCD40" s="3"/>
      <c r="BCE40" s="3"/>
      <c r="BCF40" s="3"/>
      <c r="BCG40" s="3"/>
      <c r="BCH40" s="3"/>
      <c r="BCI40" s="3"/>
      <c r="BCJ40" s="3"/>
      <c r="BCK40" s="3"/>
      <c r="BCL40" s="3"/>
      <c r="BCM40" s="3"/>
      <c r="BCN40" s="3"/>
      <c r="BCO40" s="3"/>
      <c r="BCP40" s="3"/>
      <c r="BCQ40" s="3"/>
      <c r="BCR40" s="3"/>
      <c r="BCS40" s="3"/>
      <c r="BCT40" s="3"/>
      <c r="BCU40" s="3"/>
      <c r="BCV40" s="3"/>
      <c r="BCW40" s="3"/>
      <c r="BCX40" s="3"/>
      <c r="BCY40" s="3"/>
      <c r="BCZ40" s="3"/>
      <c r="BDA40" s="3"/>
      <c r="BDB40" s="3"/>
      <c r="BDC40" s="3"/>
      <c r="BDD40" s="3"/>
      <c r="BDE40" s="3"/>
      <c r="BDF40" s="3"/>
      <c r="BDG40" s="3"/>
      <c r="BDH40" s="3"/>
      <c r="BDI40" s="3"/>
      <c r="BDJ40" s="3"/>
      <c r="BDK40" s="3"/>
      <c r="BDL40" s="3"/>
      <c r="BDM40" s="3"/>
      <c r="BDN40" s="3"/>
      <c r="BDO40" s="3"/>
      <c r="BDP40" s="3"/>
      <c r="BDQ40" s="3"/>
      <c r="BDR40" s="3"/>
      <c r="BDS40" s="3"/>
      <c r="BDT40" s="3"/>
      <c r="BDU40" s="3"/>
      <c r="BDV40" s="3"/>
      <c r="BDW40" s="3"/>
      <c r="BDX40" s="3"/>
      <c r="BDY40" s="3"/>
      <c r="BDZ40" s="3"/>
      <c r="BEA40" s="3"/>
      <c r="BEB40" s="3"/>
      <c r="BEC40" s="3"/>
      <c r="BED40" s="3"/>
      <c r="BEE40" s="3"/>
      <c r="BEF40" s="3"/>
      <c r="BEG40" s="3"/>
      <c r="BEH40" s="3"/>
      <c r="BEI40" s="3"/>
      <c r="BEJ40" s="3"/>
      <c r="BEK40" s="3"/>
      <c r="BEL40" s="3"/>
      <c r="BEM40" s="3"/>
      <c r="BEN40" s="3"/>
      <c r="BEO40" s="3"/>
      <c r="BEP40" s="3"/>
      <c r="BEQ40" s="3"/>
      <c r="BER40" s="3"/>
      <c r="BES40" s="3"/>
      <c r="BET40" s="3"/>
      <c r="BEU40" s="3"/>
      <c r="BEV40" s="3"/>
      <c r="BEW40" s="3"/>
      <c r="BEX40" s="3"/>
      <c r="BEY40" s="3"/>
      <c r="BEZ40" s="3"/>
      <c r="BFA40" s="3"/>
      <c r="BFB40" s="3"/>
      <c r="BFC40" s="3"/>
      <c r="BFD40" s="3"/>
      <c r="BFE40" s="3"/>
      <c r="BFF40" s="3"/>
      <c r="BFG40" s="3"/>
      <c r="BFH40" s="3"/>
      <c r="BFI40" s="3"/>
      <c r="BFJ40" s="3"/>
      <c r="BFK40" s="3"/>
      <c r="BFL40" s="3"/>
      <c r="BFM40" s="3"/>
      <c r="BFN40" s="3"/>
      <c r="BFO40" s="3"/>
      <c r="BFP40" s="3"/>
      <c r="BFQ40" s="3"/>
      <c r="BFR40" s="3"/>
      <c r="BFS40" s="3"/>
      <c r="BFT40" s="3"/>
      <c r="BFU40" s="3"/>
      <c r="BFV40" s="3"/>
      <c r="BFW40" s="3"/>
      <c r="BFX40" s="3"/>
      <c r="BFY40" s="3"/>
      <c r="BFZ40" s="3"/>
      <c r="BGA40" s="3"/>
      <c r="BGB40" s="3"/>
      <c r="BGC40" s="3"/>
      <c r="BGD40" s="3"/>
      <c r="BGE40" s="3"/>
      <c r="BGF40" s="3"/>
      <c r="BGG40" s="3"/>
      <c r="BGH40" s="3"/>
      <c r="BGI40" s="3"/>
      <c r="BGJ40" s="3"/>
      <c r="BGK40" s="3"/>
      <c r="BGL40" s="3"/>
      <c r="BGM40" s="3"/>
      <c r="BGN40" s="3"/>
      <c r="BGO40" s="3"/>
      <c r="BGP40" s="3"/>
      <c r="BGQ40" s="3"/>
      <c r="BGR40" s="3"/>
      <c r="BGS40" s="3"/>
      <c r="BGT40" s="3"/>
      <c r="BGU40" s="3"/>
      <c r="BGV40" s="3"/>
      <c r="BGW40" s="3"/>
      <c r="BGX40" s="3"/>
      <c r="BGY40" s="3"/>
      <c r="BGZ40" s="3"/>
      <c r="BHA40" s="3"/>
      <c r="BHB40" s="3"/>
      <c r="BHC40" s="3"/>
      <c r="BHD40" s="3"/>
      <c r="BHE40" s="3"/>
      <c r="BHF40" s="3"/>
      <c r="BHG40" s="3"/>
      <c r="BHH40" s="3"/>
      <c r="BHI40" s="3"/>
      <c r="BHJ40" s="3"/>
      <c r="BHK40" s="3"/>
      <c r="BHL40" s="3"/>
      <c r="BHM40" s="3"/>
      <c r="BHN40" s="3"/>
      <c r="BHO40" s="3"/>
      <c r="BHP40" s="3"/>
      <c r="BHQ40" s="3"/>
      <c r="BHR40" s="3"/>
      <c r="BHS40" s="3"/>
      <c r="BHT40" s="3"/>
      <c r="BHU40" s="3"/>
      <c r="BHV40" s="3"/>
      <c r="BHW40" s="3"/>
      <c r="BHX40" s="3"/>
      <c r="BHY40" s="3"/>
      <c r="BHZ40" s="3"/>
      <c r="BIA40" s="3"/>
      <c r="BIB40" s="3"/>
      <c r="BIC40" s="3"/>
      <c r="BID40" s="3"/>
      <c r="BIE40" s="3"/>
      <c r="BIF40" s="3"/>
      <c r="BIG40" s="3"/>
      <c r="BIH40" s="3"/>
      <c r="BII40" s="3"/>
      <c r="BIJ40" s="3"/>
      <c r="BIK40" s="3"/>
      <c r="BIL40" s="3"/>
      <c r="BIM40" s="3"/>
      <c r="BIN40" s="3"/>
      <c r="BIO40" s="3"/>
      <c r="BIP40" s="3"/>
      <c r="BIQ40" s="3"/>
      <c r="BIR40" s="3"/>
      <c r="BIS40" s="3"/>
      <c r="BIT40" s="3"/>
      <c r="BIU40" s="3"/>
      <c r="BIV40" s="3"/>
      <c r="BIW40" s="3"/>
      <c r="BIX40" s="3"/>
      <c r="BIY40" s="3"/>
      <c r="BIZ40" s="3"/>
      <c r="BJA40" s="3"/>
      <c r="BJB40" s="3"/>
      <c r="BJC40" s="3"/>
      <c r="BJD40" s="3"/>
      <c r="BJE40" s="3"/>
      <c r="BJF40" s="3"/>
      <c r="BJG40" s="3"/>
      <c r="BJH40" s="3"/>
      <c r="BJI40" s="3"/>
      <c r="BJJ40" s="3"/>
      <c r="BJK40" s="3"/>
      <c r="BJL40" s="3"/>
      <c r="BJM40" s="3"/>
      <c r="BJN40" s="3"/>
      <c r="BJO40" s="3"/>
      <c r="BJP40" s="3"/>
      <c r="BJQ40" s="3"/>
      <c r="BJR40" s="3"/>
      <c r="BJS40" s="3"/>
      <c r="BJT40" s="3"/>
      <c r="BJU40" s="3"/>
      <c r="BJV40" s="3"/>
      <c r="BJW40" s="3"/>
      <c r="BJX40" s="3"/>
      <c r="BJY40" s="3"/>
      <c r="BJZ40" s="3"/>
      <c r="BKA40" s="3"/>
      <c r="BKB40" s="3"/>
      <c r="BKC40" s="3"/>
      <c r="BKD40" s="3"/>
      <c r="BKE40" s="3"/>
      <c r="BKF40" s="3"/>
      <c r="BKG40" s="3"/>
      <c r="BKH40" s="3"/>
      <c r="BKI40" s="3"/>
      <c r="BKJ40" s="3"/>
      <c r="BKK40" s="3"/>
      <c r="BKL40" s="3"/>
      <c r="BKM40" s="3"/>
      <c r="BKN40" s="3"/>
      <c r="BKO40" s="3"/>
      <c r="BKP40" s="3"/>
      <c r="BKQ40" s="3"/>
      <c r="BKR40" s="3"/>
      <c r="BKS40" s="3"/>
      <c r="BKT40" s="3"/>
      <c r="BKU40" s="3"/>
      <c r="BKV40" s="3"/>
      <c r="BKW40" s="3"/>
      <c r="BKX40" s="3"/>
      <c r="BKY40" s="3"/>
      <c r="BKZ40" s="3"/>
      <c r="BLA40" s="3"/>
      <c r="BLB40" s="3"/>
      <c r="BLC40" s="3"/>
      <c r="BLD40" s="3"/>
      <c r="BLE40" s="3"/>
      <c r="BLF40" s="3"/>
      <c r="BLG40" s="3"/>
      <c r="BLH40" s="3"/>
      <c r="BLI40" s="3"/>
      <c r="BLJ40" s="3"/>
      <c r="BLK40" s="3"/>
      <c r="BLL40" s="3"/>
      <c r="BLM40" s="3"/>
      <c r="BLN40" s="3"/>
      <c r="BLO40" s="3"/>
      <c r="BLP40" s="3"/>
      <c r="BLQ40" s="3"/>
      <c r="BLR40" s="3"/>
      <c r="BLS40" s="3"/>
      <c r="BLT40" s="3"/>
      <c r="BLU40" s="3"/>
      <c r="BLV40" s="3"/>
      <c r="BLW40" s="3"/>
      <c r="BLX40" s="3"/>
      <c r="BLY40" s="3"/>
      <c r="BLZ40" s="3"/>
      <c r="BMA40" s="3"/>
      <c r="BMB40" s="3"/>
      <c r="BMC40" s="3"/>
      <c r="BMD40" s="3"/>
      <c r="BME40" s="3"/>
      <c r="BMF40" s="3"/>
      <c r="BMG40" s="3"/>
      <c r="BMH40" s="3"/>
      <c r="BMI40" s="3"/>
      <c r="BMJ40" s="3"/>
      <c r="BMK40" s="3"/>
      <c r="BML40" s="3"/>
      <c r="BMM40" s="3"/>
      <c r="BMN40" s="3"/>
      <c r="BMO40" s="3"/>
      <c r="BMP40" s="3"/>
      <c r="BMQ40" s="3"/>
      <c r="BMR40" s="3"/>
      <c r="BMS40" s="3"/>
      <c r="BMT40" s="3"/>
      <c r="BMU40" s="3"/>
      <c r="BMV40" s="3"/>
      <c r="BMW40" s="3"/>
      <c r="BMX40" s="3"/>
      <c r="BMY40" s="3"/>
      <c r="BMZ40" s="3"/>
      <c r="BNA40" s="3"/>
      <c r="BNB40" s="3"/>
      <c r="BNC40" s="3"/>
      <c r="BND40" s="3"/>
      <c r="BNE40" s="3"/>
      <c r="BNF40" s="3"/>
      <c r="BNG40" s="3"/>
      <c r="BNH40" s="3"/>
      <c r="BNI40" s="3"/>
      <c r="BNJ40" s="3"/>
      <c r="BNK40" s="3"/>
      <c r="BNL40" s="3"/>
      <c r="BNM40" s="3"/>
      <c r="BNN40" s="3"/>
      <c r="BNO40" s="3"/>
      <c r="BNP40" s="3"/>
      <c r="BNQ40" s="3"/>
      <c r="BNR40" s="3"/>
      <c r="BNS40" s="3"/>
      <c r="BNT40" s="3"/>
      <c r="BNU40" s="3"/>
      <c r="BNV40" s="3"/>
      <c r="BNW40" s="3"/>
      <c r="BNX40" s="3"/>
      <c r="BNY40" s="3"/>
      <c r="BNZ40" s="3"/>
      <c r="BOA40" s="3"/>
      <c r="BOB40" s="3"/>
      <c r="BOC40" s="3"/>
      <c r="BOD40" s="3"/>
      <c r="BOE40" s="3"/>
      <c r="BOF40" s="3"/>
      <c r="BOG40" s="3"/>
      <c r="BOH40" s="3"/>
      <c r="BOI40" s="3"/>
      <c r="BOJ40" s="3"/>
      <c r="BOK40" s="3"/>
      <c r="BOL40" s="3"/>
      <c r="BOM40" s="3"/>
      <c r="BON40" s="3"/>
      <c r="BOO40" s="3"/>
      <c r="BOP40" s="3"/>
      <c r="BOQ40" s="3"/>
      <c r="BOR40" s="3"/>
      <c r="BOS40" s="3"/>
      <c r="BOT40" s="3"/>
      <c r="BOU40" s="3"/>
      <c r="BOV40" s="3"/>
      <c r="BOW40" s="3"/>
      <c r="BOX40" s="3"/>
      <c r="BOY40" s="3"/>
      <c r="BOZ40" s="3"/>
      <c r="BPA40" s="3"/>
      <c r="BPB40" s="3"/>
      <c r="BPC40" s="3"/>
      <c r="BPD40" s="3"/>
      <c r="BPE40" s="3"/>
      <c r="BPF40" s="3"/>
      <c r="BPG40" s="3"/>
      <c r="BPH40" s="3"/>
      <c r="BPI40" s="3"/>
      <c r="BPJ40" s="3"/>
      <c r="BPK40" s="3"/>
      <c r="BPL40" s="3"/>
      <c r="BPM40" s="3"/>
      <c r="BPN40" s="3"/>
      <c r="BPO40" s="3"/>
      <c r="BPP40" s="3"/>
      <c r="BPQ40" s="3"/>
      <c r="BPR40" s="3"/>
      <c r="BPS40" s="3"/>
      <c r="BPT40" s="3"/>
      <c r="BPU40" s="3"/>
      <c r="BPV40" s="3"/>
      <c r="BPW40" s="3"/>
      <c r="BPX40" s="3"/>
      <c r="BPY40" s="3"/>
      <c r="BPZ40" s="3"/>
      <c r="BQA40" s="3"/>
      <c r="BQB40" s="3"/>
      <c r="BQC40" s="3"/>
      <c r="BQD40" s="3"/>
      <c r="BQE40" s="3"/>
      <c r="BQF40" s="3"/>
      <c r="BQG40" s="3"/>
      <c r="BQH40" s="3"/>
      <c r="BQI40" s="3"/>
      <c r="BQJ40" s="3"/>
      <c r="BQK40" s="3"/>
      <c r="BQL40" s="3"/>
      <c r="BQM40" s="3"/>
      <c r="BQN40" s="3"/>
      <c r="BQO40" s="3"/>
      <c r="BQP40" s="3"/>
      <c r="BQQ40" s="3"/>
      <c r="BQR40" s="3"/>
      <c r="BQS40" s="3"/>
      <c r="BQT40" s="3"/>
      <c r="BQU40" s="3"/>
      <c r="BQV40" s="3"/>
      <c r="BQW40" s="3"/>
      <c r="BQX40" s="3"/>
      <c r="BQY40" s="3"/>
      <c r="BQZ40" s="3"/>
      <c r="BRA40" s="3"/>
      <c r="BRB40" s="3"/>
      <c r="BRC40" s="3"/>
      <c r="BRD40" s="3"/>
      <c r="BRE40" s="3"/>
      <c r="BRF40" s="3"/>
      <c r="BRG40" s="3"/>
      <c r="BRH40" s="3"/>
      <c r="BRI40" s="3"/>
      <c r="BRJ40" s="3"/>
      <c r="BRK40" s="3"/>
      <c r="BRL40" s="3"/>
      <c r="BRM40" s="3"/>
      <c r="BRN40" s="3"/>
      <c r="BRO40" s="3"/>
      <c r="BRP40" s="3"/>
      <c r="BRQ40" s="3"/>
      <c r="BRR40" s="3"/>
      <c r="BRS40" s="3"/>
      <c r="BRT40" s="3"/>
      <c r="BRU40" s="3"/>
      <c r="BRV40" s="3"/>
      <c r="BRW40" s="3"/>
      <c r="BRX40" s="3"/>
      <c r="BRY40" s="3"/>
      <c r="BRZ40" s="3"/>
      <c r="BSA40" s="3"/>
      <c r="BSB40" s="3"/>
      <c r="BSC40" s="3"/>
      <c r="BSD40" s="3"/>
      <c r="BSE40" s="3"/>
      <c r="BSF40" s="3"/>
      <c r="BSG40" s="3"/>
      <c r="BSH40" s="3"/>
      <c r="BSI40" s="3"/>
      <c r="BSJ40" s="3"/>
      <c r="BSK40" s="3"/>
      <c r="BSL40" s="3"/>
      <c r="BSM40" s="3"/>
      <c r="BSN40" s="3"/>
      <c r="BSO40" s="3"/>
      <c r="BSP40" s="3"/>
      <c r="BSQ40" s="3"/>
      <c r="BSR40" s="3"/>
      <c r="BSS40" s="3"/>
      <c r="BST40" s="3"/>
      <c r="BSU40" s="3"/>
      <c r="BSV40" s="3"/>
      <c r="BSW40" s="3"/>
      <c r="BSX40" s="3"/>
      <c r="BSY40" s="3"/>
      <c r="BSZ40" s="3"/>
      <c r="BTA40" s="3"/>
      <c r="BTB40" s="3"/>
      <c r="BTC40" s="3"/>
      <c r="BTD40" s="3"/>
      <c r="BTE40" s="3"/>
      <c r="BTF40" s="3"/>
      <c r="BTG40" s="3"/>
      <c r="BTH40" s="3"/>
      <c r="BTI40" s="3"/>
      <c r="BTJ40" s="3"/>
      <c r="BTK40" s="3"/>
      <c r="BTL40" s="3"/>
      <c r="BTM40" s="3"/>
      <c r="BTN40" s="3"/>
      <c r="BTO40" s="3"/>
      <c r="BTP40" s="3"/>
      <c r="BTQ40" s="3"/>
      <c r="BTR40" s="3"/>
      <c r="BTS40" s="3"/>
      <c r="BTT40" s="3"/>
      <c r="BTU40" s="3"/>
      <c r="BTV40" s="3"/>
      <c r="BTW40" s="3"/>
      <c r="BTX40" s="3"/>
      <c r="BTY40" s="3"/>
      <c r="BTZ40" s="3"/>
      <c r="BUA40" s="3"/>
      <c r="BUB40" s="3"/>
      <c r="BUC40" s="3"/>
      <c r="BUD40" s="3"/>
      <c r="BUE40" s="3"/>
      <c r="BUF40" s="3"/>
      <c r="BUG40" s="3"/>
      <c r="BUH40" s="3"/>
      <c r="BUI40" s="3"/>
      <c r="BUJ40" s="3"/>
      <c r="BUK40" s="3"/>
      <c r="BUL40" s="3"/>
      <c r="BUM40" s="3"/>
      <c r="BUN40" s="3"/>
      <c r="BUO40" s="3"/>
      <c r="BUP40" s="3"/>
      <c r="BUQ40" s="3"/>
      <c r="BUR40" s="3"/>
      <c r="BUS40" s="3"/>
      <c r="BUT40" s="3"/>
      <c r="BUU40" s="3"/>
      <c r="BUV40" s="3"/>
      <c r="BUW40" s="3"/>
      <c r="BUX40" s="3"/>
      <c r="BUY40" s="3"/>
      <c r="BUZ40" s="3"/>
      <c r="BVA40" s="3"/>
      <c r="BVB40" s="3"/>
      <c r="BVC40" s="3"/>
      <c r="BVD40" s="3"/>
      <c r="BVE40" s="3"/>
      <c r="BVF40" s="3"/>
      <c r="BVG40" s="3"/>
      <c r="BVH40" s="3"/>
      <c r="BVI40" s="3"/>
      <c r="BVJ40" s="3"/>
      <c r="BVK40" s="3"/>
      <c r="BVL40" s="3"/>
      <c r="BVM40" s="3"/>
      <c r="BVN40" s="3"/>
      <c r="BVO40" s="3"/>
      <c r="BVP40" s="3"/>
      <c r="BVQ40" s="3"/>
      <c r="BVR40" s="3"/>
      <c r="BVS40" s="3"/>
      <c r="BVT40" s="3"/>
      <c r="BVU40" s="3"/>
      <c r="BVV40" s="3"/>
      <c r="BVW40" s="3"/>
      <c r="BVX40" s="3"/>
      <c r="BVY40" s="3"/>
      <c r="BVZ40" s="3"/>
      <c r="BWA40" s="3"/>
      <c r="BWB40" s="3"/>
      <c r="BWC40" s="3"/>
      <c r="BWD40" s="3"/>
      <c r="BWE40" s="3"/>
      <c r="BWF40" s="3"/>
      <c r="BWG40" s="3"/>
      <c r="BWH40" s="3"/>
      <c r="BWI40" s="3"/>
      <c r="BWJ40" s="3"/>
      <c r="BWK40" s="3"/>
      <c r="BWL40" s="3"/>
      <c r="BWM40" s="3"/>
      <c r="BWN40" s="3"/>
      <c r="BWO40" s="3"/>
      <c r="BWP40" s="3"/>
      <c r="BWQ40" s="3"/>
      <c r="BWR40" s="3"/>
      <c r="BWS40" s="3"/>
      <c r="BWT40" s="3"/>
      <c r="BWU40" s="3"/>
      <c r="BWV40" s="3"/>
      <c r="BWW40" s="3"/>
      <c r="BWX40" s="3"/>
      <c r="BWY40" s="3"/>
      <c r="BWZ40" s="3"/>
      <c r="BXA40" s="3"/>
      <c r="BXB40" s="3"/>
      <c r="BXC40" s="3"/>
      <c r="BXD40" s="3"/>
      <c r="BXE40" s="3"/>
      <c r="BXF40" s="3"/>
      <c r="BXG40" s="3"/>
      <c r="BXH40" s="3"/>
      <c r="BXI40" s="3"/>
      <c r="BXJ40" s="3"/>
      <c r="BXK40" s="3"/>
      <c r="BXL40" s="3"/>
      <c r="BXM40" s="3"/>
      <c r="BXN40" s="3"/>
      <c r="BXO40" s="3"/>
      <c r="BXP40" s="3"/>
      <c r="BXQ40" s="3"/>
      <c r="BXR40" s="3"/>
      <c r="BXS40" s="3"/>
      <c r="BXT40" s="3"/>
      <c r="BXU40" s="3"/>
      <c r="BXV40" s="3"/>
      <c r="BXW40" s="3"/>
      <c r="BXX40" s="3"/>
      <c r="BXY40" s="3"/>
      <c r="BXZ40" s="3"/>
      <c r="BYA40" s="3"/>
      <c r="BYB40" s="3"/>
      <c r="BYC40" s="3"/>
      <c r="BYD40" s="3"/>
      <c r="BYE40" s="3"/>
      <c r="BYF40" s="3"/>
      <c r="BYG40" s="3"/>
    </row>
    <row r="41" spans="1:2009" s="85" customFormat="1" ht="24.95" customHeight="1" x14ac:dyDescent="0.25">
      <c r="A41" s="112"/>
      <c r="B41" s="86" t="s">
        <v>532</v>
      </c>
      <c r="C41" s="155"/>
      <c r="D41" s="155"/>
      <c r="E41" s="156"/>
      <c r="F41" s="156"/>
      <c r="G41" s="524">
        <f>ROUND(SUM(C41:F41),5)</f>
        <v>0</v>
      </c>
      <c r="H41" s="3"/>
      <c r="I41" s="26"/>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c r="AJY41" s="3"/>
      <c r="AJZ41" s="3"/>
      <c r="AKA41" s="3"/>
      <c r="AKB41" s="3"/>
      <c r="AKC41" s="3"/>
      <c r="AKD41" s="3"/>
      <c r="AKE41" s="3"/>
      <c r="AKF41" s="3"/>
      <c r="AKG41" s="3"/>
      <c r="AKH41" s="3"/>
      <c r="AKI41" s="3"/>
      <c r="AKJ41" s="3"/>
      <c r="AKK41" s="3"/>
      <c r="AKL41" s="3"/>
      <c r="AKM41" s="3"/>
      <c r="AKN41" s="3"/>
      <c r="AKO41" s="3"/>
      <c r="AKP41" s="3"/>
      <c r="AKQ41" s="3"/>
      <c r="AKR41" s="3"/>
      <c r="AKS41" s="3"/>
      <c r="AKT41" s="3"/>
      <c r="AKU41" s="3"/>
      <c r="AKV41" s="3"/>
      <c r="AKW41" s="3"/>
      <c r="AKX41" s="3"/>
      <c r="AKY41" s="3"/>
      <c r="AKZ41" s="3"/>
      <c r="ALA41" s="3"/>
      <c r="ALB41" s="3"/>
      <c r="ALC41" s="3"/>
      <c r="ALD41" s="3"/>
      <c r="ALE41" s="3"/>
      <c r="ALF41" s="3"/>
      <c r="ALG41" s="3"/>
      <c r="ALH41" s="3"/>
      <c r="ALI41" s="3"/>
      <c r="ALJ41" s="3"/>
      <c r="ALK41" s="3"/>
      <c r="ALL41" s="3"/>
      <c r="ALM41" s="3"/>
      <c r="ALN41" s="3"/>
      <c r="ALO41" s="3"/>
      <c r="ALP41" s="3"/>
      <c r="ALQ41" s="3"/>
      <c r="ALR41" s="3"/>
      <c r="ALS41" s="3"/>
      <c r="ALT41" s="3"/>
      <c r="ALU41" s="3"/>
      <c r="ALV41" s="3"/>
      <c r="ALW41" s="3"/>
      <c r="ALX41" s="3"/>
      <c r="ALY41" s="3"/>
      <c r="ALZ41" s="3"/>
      <c r="AMA41" s="3"/>
      <c r="AMB41" s="3"/>
      <c r="AMC41" s="3"/>
      <c r="AMD41" s="3"/>
      <c r="AME41" s="3"/>
      <c r="AMF41" s="3"/>
      <c r="AMG41" s="3"/>
      <c r="AMH41" s="3"/>
      <c r="AMI41" s="3"/>
      <c r="AMJ41" s="3"/>
      <c r="AMK41" s="3"/>
      <c r="AML41" s="3"/>
      <c r="AMM41" s="3"/>
      <c r="AMN41" s="3"/>
      <c r="AMO41" s="3"/>
      <c r="AMP41" s="3"/>
      <c r="AMQ41" s="3"/>
      <c r="AMR41" s="3"/>
      <c r="AMS41" s="3"/>
      <c r="AMT41" s="3"/>
      <c r="AMU41" s="3"/>
      <c r="AMV41" s="3"/>
      <c r="AMW41" s="3"/>
      <c r="AMX41" s="3"/>
      <c r="AMY41" s="3"/>
      <c r="AMZ41" s="3"/>
      <c r="ANA41" s="3"/>
      <c r="ANB41" s="3"/>
      <c r="ANC41" s="3"/>
      <c r="AND41" s="3"/>
      <c r="ANE41" s="3"/>
      <c r="ANF41" s="3"/>
      <c r="ANG41" s="3"/>
      <c r="ANH41" s="3"/>
      <c r="ANI41" s="3"/>
      <c r="ANJ41" s="3"/>
      <c r="ANK41" s="3"/>
      <c r="ANL41" s="3"/>
      <c r="ANM41" s="3"/>
      <c r="ANN41" s="3"/>
      <c r="ANO41" s="3"/>
      <c r="ANP41" s="3"/>
      <c r="ANQ41" s="3"/>
      <c r="ANR41" s="3"/>
      <c r="ANS41" s="3"/>
      <c r="ANT41" s="3"/>
      <c r="ANU41" s="3"/>
      <c r="ANV41" s="3"/>
      <c r="ANW41" s="3"/>
      <c r="ANX41" s="3"/>
      <c r="ANY41" s="3"/>
      <c r="ANZ41" s="3"/>
      <c r="AOA41" s="3"/>
      <c r="AOB41" s="3"/>
      <c r="AOC41" s="3"/>
      <c r="AOD41" s="3"/>
      <c r="AOE41" s="3"/>
      <c r="AOF41" s="3"/>
      <c r="AOG41" s="3"/>
      <c r="AOH41" s="3"/>
      <c r="AOI41" s="3"/>
      <c r="AOJ41" s="3"/>
      <c r="AOK41" s="3"/>
      <c r="AOL41" s="3"/>
      <c r="AOM41" s="3"/>
      <c r="AON41" s="3"/>
      <c r="AOO41" s="3"/>
      <c r="AOP41" s="3"/>
      <c r="AOQ41" s="3"/>
      <c r="AOR41" s="3"/>
      <c r="AOS41" s="3"/>
      <c r="AOT41" s="3"/>
      <c r="AOU41" s="3"/>
      <c r="AOV41" s="3"/>
      <c r="AOW41" s="3"/>
      <c r="AOX41" s="3"/>
      <c r="AOY41" s="3"/>
      <c r="AOZ41" s="3"/>
      <c r="APA41" s="3"/>
      <c r="APB41" s="3"/>
      <c r="APC41" s="3"/>
      <c r="APD41" s="3"/>
      <c r="APE41" s="3"/>
      <c r="APF41" s="3"/>
      <c r="APG41" s="3"/>
      <c r="APH41" s="3"/>
      <c r="API41" s="3"/>
      <c r="APJ41" s="3"/>
      <c r="APK41" s="3"/>
      <c r="APL41" s="3"/>
      <c r="APM41" s="3"/>
      <c r="APN41" s="3"/>
      <c r="APO41" s="3"/>
      <c r="APP41" s="3"/>
      <c r="APQ41" s="3"/>
      <c r="APR41" s="3"/>
      <c r="APS41" s="3"/>
      <c r="APT41" s="3"/>
      <c r="APU41" s="3"/>
      <c r="APV41" s="3"/>
      <c r="APW41" s="3"/>
      <c r="APX41" s="3"/>
      <c r="APY41" s="3"/>
      <c r="APZ41" s="3"/>
      <c r="AQA41" s="3"/>
      <c r="AQB41" s="3"/>
      <c r="AQC41" s="3"/>
      <c r="AQD41" s="3"/>
      <c r="AQE41" s="3"/>
      <c r="AQF41" s="3"/>
      <c r="AQG41" s="3"/>
      <c r="AQH41" s="3"/>
      <c r="AQI41" s="3"/>
      <c r="AQJ41" s="3"/>
      <c r="AQK41" s="3"/>
      <c r="AQL41" s="3"/>
      <c r="AQM41" s="3"/>
      <c r="AQN41" s="3"/>
      <c r="AQO41" s="3"/>
      <c r="AQP41" s="3"/>
      <c r="AQQ41" s="3"/>
      <c r="AQR41" s="3"/>
      <c r="AQS41" s="3"/>
      <c r="AQT41" s="3"/>
      <c r="AQU41" s="3"/>
      <c r="AQV41" s="3"/>
      <c r="AQW41" s="3"/>
      <c r="AQX41" s="3"/>
      <c r="AQY41" s="3"/>
      <c r="AQZ41" s="3"/>
      <c r="ARA41" s="3"/>
      <c r="ARB41" s="3"/>
      <c r="ARC41" s="3"/>
      <c r="ARD41" s="3"/>
      <c r="ARE41" s="3"/>
      <c r="ARF41" s="3"/>
      <c r="ARG41" s="3"/>
      <c r="ARH41" s="3"/>
      <c r="ARI41" s="3"/>
      <c r="ARJ41" s="3"/>
      <c r="ARK41" s="3"/>
      <c r="ARL41" s="3"/>
      <c r="ARM41" s="3"/>
      <c r="ARN41" s="3"/>
      <c r="ARO41" s="3"/>
      <c r="ARP41" s="3"/>
      <c r="ARQ41" s="3"/>
      <c r="ARR41" s="3"/>
      <c r="ARS41" s="3"/>
      <c r="ART41" s="3"/>
      <c r="ARU41" s="3"/>
      <c r="ARV41" s="3"/>
      <c r="ARW41" s="3"/>
      <c r="ARX41" s="3"/>
      <c r="ARY41" s="3"/>
      <c r="ARZ41" s="3"/>
      <c r="ASA41" s="3"/>
      <c r="ASB41" s="3"/>
      <c r="ASC41" s="3"/>
      <c r="ASD41" s="3"/>
      <c r="ASE41" s="3"/>
      <c r="ASF41" s="3"/>
      <c r="ASG41" s="3"/>
      <c r="ASH41" s="3"/>
      <c r="ASI41" s="3"/>
      <c r="ASJ41" s="3"/>
      <c r="ASK41" s="3"/>
      <c r="ASL41" s="3"/>
      <c r="ASM41" s="3"/>
      <c r="ASN41" s="3"/>
      <c r="ASO41" s="3"/>
      <c r="ASP41" s="3"/>
      <c r="ASQ41" s="3"/>
      <c r="ASR41" s="3"/>
      <c r="ASS41" s="3"/>
      <c r="AST41" s="3"/>
      <c r="ASU41" s="3"/>
      <c r="ASV41" s="3"/>
      <c r="ASW41" s="3"/>
      <c r="ASX41" s="3"/>
      <c r="ASY41" s="3"/>
      <c r="ASZ41" s="3"/>
      <c r="ATA41" s="3"/>
      <c r="ATB41" s="3"/>
      <c r="ATC41" s="3"/>
      <c r="ATD41" s="3"/>
      <c r="ATE41" s="3"/>
      <c r="ATF41" s="3"/>
      <c r="ATG41" s="3"/>
      <c r="ATH41" s="3"/>
      <c r="ATI41" s="3"/>
      <c r="ATJ41" s="3"/>
      <c r="ATK41" s="3"/>
      <c r="ATL41" s="3"/>
      <c r="ATM41" s="3"/>
      <c r="ATN41" s="3"/>
      <c r="ATO41" s="3"/>
      <c r="ATP41" s="3"/>
      <c r="ATQ41" s="3"/>
      <c r="ATR41" s="3"/>
      <c r="ATS41" s="3"/>
      <c r="ATT41" s="3"/>
      <c r="ATU41" s="3"/>
      <c r="ATV41" s="3"/>
      <c r="ATW41" s="3"/>
      <c r="ATX41" s="3"/>
      <c r="ATY41" s="3"/>
      <c r="ATZ41" s="3"/>
      <c r="AUA41" s="3"/>
      <c r="AUB41" s="3"/>
      <c r="AUC41" s="3"/>
      <c r="AUD41" s="3"/>
      <c r="AUE41" s="3"/>
      <c r="AUF41" s="3"/>
      <c r="AUG41" s="3"/>
      <c r="AUH41" s="3"/>
      <c r="AUI41" s="3"/>
      <c r="AUJ41" s="3"/>
      <c r="AUK41" s="3"/>
      <c r="AUL41" s="3"/>
      <c r="AUM41" s="3"/>
      <c r="AUN41" s="3"/>
      <c r="AUO41" s="3"/>
      <c r="AUP41" s="3"/>
      <c r="AUQ41" s="3"/>
      <c r="AUR41" s="3"/>
      <c r="AUS41" s="3"/>
      <c r="AUT41" s="3"/>
      <c r="AUU41" s="3"/>
      <c r="AUV41" s="3"/>
      <c r="AUW41" s="3"/>
      <c r="AUX41" s="3"/>
      <c r="AUY41" s="3"/>
      <c r="AUZ41" s="3"/>
      <c r="AVA41" s="3"/>
      <c r="AVB41" s="3"/>
      <c r="AVC41" s="3"/>
      <c r="AVD41" s="3"/>
      <c r="AVE41" s="3"/>
      <c r="AVF41" s="3"/>
      <c r="AVG41" s="3"/>
      <c r="AVH41" s="3"/>
      <c r="AVI41" s="3"/>
      <c r="AVJ41" s="3"/>
      <c r="AVK41" s="3"/>
      <c r="AVL41" s="3"/>
      <c r="AVM41" s="3"/>
      <c r="AVN41" s="3"/>
      <c r="AVO41" s="3"/>
      <c r="AVP41" s="3"/>
      <c r="AVQ41" s="3"/>
      <c r="AVR41" s="3"/>
      <c r="AVS41" s="3"/>
      <c r="AVT41" s="3"/>
      <c r="AVU41" s="3"/>
      <c r="AVV41" s="3"/>
      <c r="AVW41" s="3"/>
      <c r="AVX41" s="3"/>
      <c r="AVY41" s="3"/>
      <c r="AVZ41" s="3"/>
      <c r="AWA41" s="3"/>
      <c r="AWB41" s="3"/>
      <c r="AWC41" s="3"/>
      <c r="AWD41" s="3"/>
      <c r="AWE41" s="3"/>
      <c r="AWF41" s="3"/>
      <c r="AWG41" s="3"/>
      <c r="AWH41" s="3"/>
      <c r="AWI41" s="3"/>
      <c r="AWJ41" s="3"/>
      <c r="AWK41" s="3"/>
      <c r="AWL41" s="3"/>
      <c r="AWM41" s="3"/>
      <c r="AWN41" s="3"/>
      <c r="AWO41" s="3"/>
      <c r="AWP41" s="3"/>
      <c r="AWQ41" s="3"/>
      <c r="AWR41" s="3"/>
      <c r="AWS41" s="3"/>
      <c r="AWT41" s="3"/>
      <c r="AWU41" s="3"/>
      <c r="AWV41" s="3"/>
      <c r="AWW41" s="3"/>
      <c r="AWX41" s="3"/>
      <c r="AWY41" s="3"/>
      <c r="AWZ41" s="3"/>
      <c r="AXA41" s="3"/>
      <c r="AXB41" s="3"/>
      <c r="AXC41" s="3"/>
      <c r="AXD41" s="3"/>
      <c r="AXE41" s="3"/>
      <c r="AXF41" s="3"/>
      <c r="AXG41" s="3"/>
      <c r="AXH41" s="3"/>
      <c r="AXI41" s="3"/>
      <c r="AXJ41" s="3"/>
      <c r="AXK41" s="3"/>
      <c r="AXL41" s="3"/>
      <c r="AXM41" s="3"/>
      <c r="AXN41" s="3"/>
      <c r="AXO41" s="3"/>
      <c r="AXP41" s="3"/>
      <c r="AXQ41" s="3"/>
      <c r="AXR41" s="3"/>
      <c r="AXS41" s="3"/>
      <c r="AXT41" s="3"/>
      <c r="AXU41" s="3"/>
      <c r="AXV41" s="3"/>
      <c r="AXW41" s="3"/>
      <c r="AXX41" s="3"/>
      <c r="AXY41" s="3"/>
      <c r="AXZ41" s="3"/>
      <c r="AYA41" s="3"/>
      <c r="AYB41" s="3"/>
      <c r="AYC41" s="3"/>
      <c r="AYD41" s="3"/>
      <c r="AYE41" s="3"/>
      <c r="AYF41" s="3"/>
      <c r="AYG41" s="3"/>
      <c r="AYH41" s="3"/>
      <c r="AYI41" s="3"/>
      <c r="AYJ41" s="3"/>
      <c r="AYK41" s="3"/>
      <c r="AYL41" s="3"/>
      <c r="AYM41" s="3"/>
      <c r="AYN41" s="3"/>
      <c r="AYO41" s="3"/>
      <c r="AYP41" s="3"/>
      <c r="AYQ41" s="3"/>
      <c r="AYR41" s="3"/>
      <c r="AYS41" s="3"/>
      <c r="AYT41" s="3"/>
      <c r="AYU41" s="3"/>
      <c r="AYV41" s="3"/>
      <c r="AYW41" s="3"/>
      <c r="AYX41" s="3"/>
      <c r="AYY41" s="3"/>
      <c r="AYZ41" s="3"/>
      <c r="AZA41" s="3"/>
      <c r="AZB41" s="3"/>
      <c r="AZC41" s="3"/>
      <c r="AZD41" s="3"/>
      <c r="AZE41" s="3"/>
      <c r="AZF41" s="3"/>
      <c r="AZG41" s="3"/>
      <c r="AZH41" s="3"/>
      <c r="AZI41" s="3"/>
      <c r="AZJ41" s="3"/>
      <c r="AZK41" s="3"/>
      <c r="AZL41" s="3"/>
      <c r="AZM41" s="3"/>
      <c r="AZN41" s="3"/>
      <c r="AZO41" s="3"/>
      <c r="AZP41" s="3"/>
      <c r="AZQ41" s="3"/>
      <c r="AZR41" s="3"/>
      <c r="AZS41" s="3"/>
      <c r="AZT41" s="3"/>
      <c r="AZU41" s="3"/>
      <c r="AZV41" s="3"/>
      <c r="AZW41" s="3"/>
      <c r="AZX41" s="3"/>
      <c r="AZY41" s="3"/>
      <c r="AZZ41" s="3"/>
      <c r="BAA41" s="3"/>
      <c r="BAB41" s="3"/>
      <c r="BAC41" s="3"/>
      <c r="BAD41" s="3"/>
      <c r="BAE41" s="3"/>
      <c r="BAF41" s="3"/>
      <c r="BAG41" s="3"/>
      <c r="BAH41" s="3"/>
      <c r="BAI41" s="3"/>
      <c r="BAJ41" s="3"/>
      <c r="BAK41" s="3"/>
      <c r="BAL41" s="3"/>
      <c r="BAM41" s="3"/>
      <c r="BAN41" s="3"/>
      <c r="BAO41" s="3"/>
      <c r="BAP41" s="3"/>
      <c r="BAQ41" s="3"/>
      <c r="BAR41" s="3"/>
      <c r="BAS41" s="3"/>
      <c r="BAT41" s="3"/>
      <c r="BAU41" s="3"/>
      <c r="BAV41" s="3"/>
      <c r="BAW41" s="3"/>
      <c r="BAX41" s="3"/>
      <c r="BAY41" s="3"/>
      <c r="BAZ41" s="3"/>
      <c r="BBA41" s="3"/>
      <c r="BBB41" s="3"/>
      <c r="BBC41" s="3"/>
      <c r="BBD41" s="3"/>
      <c r="BBE41" s="3"/>
      <c r="BBF41" s="3"/>
      <c r="BBG41" s="3"/>
      <c r="BBH41" s="3"/>
      <c r="BBI41" s="3"/>
      <c r="BBJ41" s="3"/>
      <c r="BBK41" s="3"/>
      <c r="BBL41" s="3"/>
      <c r="BBM41" s="3"/>
      <c r="BBN41" s="3"/>
      <c r="BBO41" s="3"/>
      <c r="BBP41" s="3"/>
      <c r="BBQ41" s="3"/>
      <c r="BBR41" s="3"/>
      <c r="BBS41" s="3"/>
      <c r="BBT41" s="3"/>
      <c r="BBU41" s="3"/>
      <c r="BBV41" s="3"/>
      <c r="BBW41" s="3"/>
      <c r="BBX41" s="3"/>
      <c r="BBY41" s="3"/>
      <c r="BBZ41" s="3"/>
      <c r="BCA41" s="3"/>
      <c r="BCB41" s="3"/>
      <c r="BCC41" s="3"/>
      <c r="BCD41" s="3"/>
      <c r="BCE41" s="3"/>
      <c r="BCF41" s="3"/>
      <c r="BCG41" s="3"/>
      <c r="BCH41" s="3"/>
      <c r="BCI41" s="3"/>
      <c r="BCJ41" s="3"/>
      <c r="BCK41" s="3"/>
      <c r="BCL41" s="3"/>
      <c r="BCM41" s="3"/>
      <c r="BCN41" s="3"/>
      <c r="BCO41" s="3"/>
      <c r="BCP41" s="3"/>
      <c r="BCQ41" s="3"/>
      <c r="BCR41" s="3"/>
      <c r="BCS41" s="3"/>
      <c r="BCT41" s="3"/>
      <c r="BCU41" s="3"/>
      <c r="BCV41" s="3"/>
      <c r="BCW41" s="3"/>
      <c r="BCX41" s="3"/>
      <c r="BCY41" s="3"/>
      <c r="BCZ41" s="3"/>
      <c r="BDA41" s="3"/>
      <c r="BDB41" s="3"/>
      <c r="BDC41" s="3"/>
      <c r="BDD41" s="3"/>
      <c r="BDE41" s="3"/>
      <c r="BDF41" s="3"/>
      <c r="BDG41" s="3"/>
      <c r="BDH41" s="3"/>
      <c r="BDI41" s="3"/>
      <c r="BDJ41" s="3"/>
      <c r="BDK41" s="3"/>
      <c r="BDL41" s="3"/>
      <c r="BDM41" s="3"/>
      <c r="BDN41" s="3"/>
      <c r="BDO41" s="3"/>
      <c r="BDP41" s="3"/>
      <c r="BDQ41" s="3"/>
      <c r="BDR41" s="3"/>
      <c r="BDS41" s="3"/>
      <c r="BDT41" s="3"/>
      <c r="BDU41" s="3"/>
      <c r="BDV41" s="3"/>
      <c r="BDW41" s="3"/>
      <c r="BDX41" s="3"/>
      <c r="BDY41" s="3"/>
      <c r="BDZ41" s="3"/>
      <c r="BEA41" s="3"/>
      <c r="BEB41" s="3"/>
      <c r="BEC41" s="3"/>
      <c r="BED41" s="3"/>
      <c r="BEE41" s="3"/>
      <c r="BEF41" s="3"/>
      <c r="BEG41" s="3"/>
      <c r="BEH41" s="3"/>
      <c r="BEI41" s="3"/>
      <c r="BEJ41" s="3"/>
      <c r="BEK41" s="3"/>
      <c r="BEL41" s="3"/>
      <c r="BEM41" s="3"/>
      <c r="BEN41" s="3"/>
      <c r="BEO41" s="3"/>
      <c r="BEP41" s="3"/>
      <c r="BEQ41" s="3"/>
      <c r="BER41" s="3"/>
      <c r="BES41" s="3"/>
      <c r="BET41" s="3"/>
      <c r="BEU41" s="3"/>
      <c r="BEV41" s="3"/>
      <c r="BEW41" s="3"/>
      <c r="BEX41" s="3"/>
      <c r="BEY41" s="3"/>
      <c r="BEZ41" s="3"/>
      <c r="BFA41" s="3"/>
      <c r="BFB41" s="3"/>
      <c r="BFC41" s="3"/>
      <c r="BFD41" s="3"/>
      <c r="BFE41" s="3"/>
      <c r="BFF41" s="3"/>
      <c r="BFG41" s="3"/>
      <c r="BFH41" s="3"/>
      <c r="BFI41" s="3"/>
      <c r="BFJ41" s="3"/>
      <c r="BFK41" s="3"/>
      <c r="BFL41" s="3"/>
      <c r="BFM41" s="3"/>
      <c r="BFN41" s="3"/>
      <c r="BFO41" s="3"/>
      <c r="BFP41" s="3"/>
      <c r="BFQ41" s="3"/>
      <c r="BFR41" s="3"/>
      <c r="BFS41" s="3"/>
      <c r="BFT41" s="3"/>
      <c r="BFU41" s="3"/>
      <c r="BFV41" s="3"/>
      <c r="BFW41" s="3"/>
      <c r="BFX41" s="3"/>
      <c r="BFY41" s="3"/>
      <c r="BFZ41" s="3"/>
      <c r="BGA41" s="3"/>
      <c r="BGB41" s="3"/>
      <c r="BGC41" s="3"/>
      <c r="BGD41" s="3"/>
      <c r="BGE41" s="3"/>
      <c r="BGF41" s="3"/>
      <c r="BGG41" s="3"/>
      <c r="BGH41" s="3"/>
      <c r="BGI41" s="3"/>
      <c r="BGJ41" s="3"/>
      <c r="BGK41" s="3"/>
      <c r="BGL41" s="3"/>
      <c r="BGM41" s="3"/>
      <c r="BGN41" s="3"/>
      <c r="BGO41" s="3"/>
      <c r="BGP41" s="3"/>
      <c r="BGQ41" s="3"/>
      <c r="BGR41" s="3"/>
      <c r="BGS41" s="3"/>
      <c r="BGT41" s="3"/>
      <c r="BGU41" s="3"/>
      <c r="BGV41" s="3"/>
      <c r="BGW41" s="3"/>
      <c r="BGX41" s="3"/>
      <c r="BGY41" s="3"/>
      <c r="BGZ41" s="3"/>
      <c r="BHA41" s="3"/>
      <c r="BHB41" s="3"/>
      <c r="BHC41" s="3"/>
      <c r="BHD41" s="3"/>
      <c r="BHE41" s="3"/>
      <c r="BHF41" s="3"/>
      <c r="BHG41" s="3"/>
      <c r="BHH41" s="3"/>
      <c r="BHI41" s="3"/>
      <c r="BHJ41" s="3"/>
      <c r="BHK41" s="3"/>
      <c r="BHL41" s="3"/>
      <c r="BHM41" s="3"/>
      <c r="BHN41" s="3"/>
      <c r="BHO41" s="3"/>
      <c r="BHP41" s="3"/>
      <c r="BHQ41" s="3"/>
      <c r="BHR41" s="3"/>
      <c r="BHS41" s="3"/>
      <c r="BHT41" s="3"/>
      <c r="BHU41" s="3"/>
      <c r="BHV41" s="3"/>
      <c r="BHW41" s="3"/>
      <c r="BHX41" s="3"/>
      <c r="BHY41" s="3"/>
      <c r="BHZ41" s="3"/>
      <c r="BIA41" s="3"/>
      <c r="BIB41" s="3"/>
      <c r="BIC41" s="3"/>
      <c r="BID41" s="3"/>
      <c r="BIE41" s="3"/>
      <c r="BIF41" s="3"/>
      <c r="BIG41" s="3"/>
      <c r="BIH41" s="3"/>
      <c r="BII41" s="3"/>
      <c r="BIJ41" s="3"/>
      <c r="BIK41" s="3"/>
      <c r="BIL41" s="3"/>
      <c r="BIM41" s="3"/>
      <c r="BIN41" s="3"/>
      <c r="BIO41" s="3"/>
      <c r="BIP41" s="3"/>
      <c r="BIQ41" s="3"/>
      <c r="BIR41" s="3"/>
      <c r="BIS41" s="3"/>
      <c r="BIT41" s="3"/>
      <c r="BIU41" s="3"/>
      <c r="BIV41" s="3"/>
      <c r="BIW41" s="3"/>
      <c r="BIX41" s="3"/>
      <c r="BIY41" s="3"/>
      <c r="BIZ41" s="3"/>
      <c r="BJA41" s="3"/>
      <c r="BJB41" s="3"/>
      <c r="BJC41" s="3"/>
      <c r="BJD41" s="3"/>
      <c r="BJE41" s="3"/>
      <c r="BJF41" s="3"/>
      <c r="BJG41" s="3"/>
      <c r="BJH41" s="3"/>
      <c r="BJI41" s="3"/>
      <c r="BJJ41" s="3"/>
      <c r="BJK41" s="3"/>
      <c r="BJL41" s="3"/>
      <c r="BJM41" s="3"/>
      <c r="BJN41" s="3"/>
      <c r="BJO41" s="3"/>
      <c r="BJP41" s="3"/>
      <c r="BJQ41" s="3"/>
      <c r="BJR41" s="3"/>
      <c r="BJS41" s="3"/>
      <c r="BJT41" s="3"/>
      <c r="BJU41" s="3"/>
      <c r="BJV41" s="3"/>
      <c r="BJW41" s="3"/>
      <c r="BJX41" s="3"/>
      <c r="BJY41" s="3"/>
      <c r="BJZ41" s="3"/>
      <c r="BKA41" s="3"/>
      <c r="BKB41" s="3"/>
      <c r="BKC41" s="3"/>
      <c r="BKD41" s="3"/>
      <c r="BKE41" s="3"/>
      <c r="BKF41" s="3"/>
      <c r="BKG41" s="3"/>
      <c r="BKH41" s="3"/>
      <c r="BKI41" s="3"/>
      <c r="BKJ41" s="3"/>
      <c r="BKK41" s="3"/>
      <c r="BKL41" s="3"/>
      <c r="BKM41" s="3"/>
      <c r="BKN41" s="3"/>
      <c r="BKO41" s="3"/>
      <c r="BKP41" s="3"/>
      <c r="BKQ41" s="3"/>
      <c r="BKR41" s="3"/>
      <c r="BKS41" s="3"/>
      <c r="BKT41" s="3"/>
      <c r="BKU41" s="3"/>
      <c r="BKV41" s="3"/>
      <c r="BKW41" s="3"/>
      <c r="BKX41" s="3"/>
      <c r="BKY41" s="3"/>
      <c r="BKZ41" s="3"/>
      <c r="BLA41" s="3"/>
      <c r="BLB41" s="3"/>
      <c r="BLC41" s="3"/>
      <c r="BLD41" s="3"/>
      <c r="BLE41" s="3"/>
      <c r="BLF41" s="3"/>
      <c r="BLG41" s="3"/>
      <c r="BLH41" s="3"/>
      <c r="BLI41" s="3"/>
      <c r="BLJ41" s="3"/>
      <c r="BLK41" s="3"/>
      <c r="BLL41" s="3"/>
      <c r="BLM41" s="3"/>
      <c r="BLN41" s="3"/>
      <c r="BLO41" s="3"/>
      <c r="BLP41" s="3"/>
      <c r="BLQ41" s="3"/>
      <c r="BLR41" s="3"/>
      <c r="BLS41" s="3"/>
      <c r="BLT41" s="3"/>
      <c r="BLU41" s="3"/>
      <c r="BLV41" s="3"/>
      <c r="BLW41" s="3"/>
      <c r="BLX41" s="3"/>
      <c r="BLY41" s="3"/>
      <c r="BLZ41" s="3"/>
      <c r="BMA41" s="3"/>
      <c r="BMB41" s="3"/>
      <c r="BMC41" s="3"/>
      <c r="BMD41" s="3"/>
      <c r="BME41" s="3"/>
      <c r="BMF41" s="3"/>
      <c r="BMG41" s="3"/>
      <c r="BMH41" s="3"/>
      <c r="BMI41" s="3"/>
      <c r="BMJ41" s="3"/>
      <c r="BMK41" s="3"/>
      <c r="BML41" s="3"/>
      <c r="BMM41" s="3"/>
      <c r="BMN41" s="3"/>
      <c r="BMO41" s="3"/>
      <c r="BMP41" s="3"/>
      <c r="BMQ41" s="3"/>
      <c r="BMR41" s="3"/>
      <c r="BMS41" s="3"/>
      <c r="BMT41" s="3"/>
      <c r="BMU41" s="3"/>
      <c r="BMV41" s="3"/>
      <c r="BMW41" s="3"/>
      <c r="BMX41" s="3"/>
      <c r="BMY41" s="3"/>
      <c r="BMZ41" s="3"/>
      <c r="BNA41" s="3"/>
      <c r="BNB41" s="3"/>
      <c r="BNC41" s="3"/>
      <c r="BND41" s="3"/>
      <c r="BNE41" s="3"/>
      <c r="BNF41" s="3"/>
      <c r="BNG41" s="3"/>
      <c r="BNH41" s="3"/>
      <c r="BNI41" s="3"/>
      <c r="BNJ41" s="3"/>
      <c r="BNK41" s="3"/>
      <c r="BNL41" s="3"/>
      <c r="BNM41" s="3"/>
      <c r="BNN41" s="3"/>
      <c r="BNO41" s="3"/>
      <c r="BNP41" s="3"/>
      <c r="BNQ41" s="3"/>
      <c r="BNR41" s="3"/>
      <c r="BNS41" s="3"/>
      <c r="BNT41" s="3"/>
      <c r="BNU41" s="3"/>
      <c r="BNV41" s="3"/>
      <c r="BNW41" s="3"/>
      <c r="BNX41" s="3"/>
      <c r="BNY41" s="3"/>
      <c r="BNZ41" s="3"/>
      <c r="BOA41" s="3"/>
      <c r="BOB41" s="3"/>
      <c r="BOC41" s="3"/>
      <c r="BOD41" s="3"/>
      <c r="BOE41" s="3"/>
      <c r="BOF41" s="3"/>
      <c r="BOG41" s="3"/>
      <c r="BOH41" s="3"/>
      <c r="BOI41" s="3"/>
      <c r="BOJ41" s="3"/>
      <c r="BOK41" s="3"/>
      <c r="BOL41" s="3"/>
      <c r="BOM41" s="3"/>
      <c r="BON41" s="3"/>
      <c r="BOO41" s="3"/>
      <c r="BOP41" s="3"/>
      <c r="BOQ41" s="3"/>
      <c r="BOR41" s="3"/>
      <c r="BOS41" s="3"/>
      <c r="BOT41" s="3"/>
      <c r="BOU41" s="3"/>
      <c r="BOV41" s="3"/>
      <c r="BOW41" s="3"/>
      <c r="BOX41" s="3"/>
      <c r="BOY41" s="3"/>
      <c r="BOZ41" s="3"/>
      <c r="BPA41" s="3"/>
      <c r="BPB41" s="3"/>
      <c r="BPC41" s="3"/>
      <c r="BPD41" s="3"/>
      <c r="BPE41" s="3"/>
      <c r="BPF41" s="3"/>
      <c r="BPG41" s="3"/>
      <c r="BPH41" s="3"/>
      <c r="BPI41" s="3"/>
      <c r="BPJ41" s="3"/>
      <c r="BPK41" s="3"/>
      <c r="BPL41" s="3"/>
      <c r="BPM41" s="3"/>
      <c r="BPN41" s="3"/>
      <c r="BPO41" s="3"/>
      <c r="BPP41" s="3"/>
      <c r="BPQ41" s="3"/>
      <c r="BPR41" s="3"/>
      <c r="BPS41" s="3"/>
      <c r="BPT41" s="3"/>
      <c r="BPU41" s="3"/>
      <c r="BPV41" s="3"/>
      <c r="BPW41" s="3"/>
      <c r="BPX41" s="3"/>
      <c r="BPY41" s="3"/>
      <c r="BPZ41" s="3"/>
      <c r="BQA41" s="3"/>
      <c r="BQB41" s="3"/>
      <c r="BQC41" s="3"/>
      <c r="BQD41" s="3"/>
      <c r="BQE41" s="3"/>
      <c r="BQF41" s="3"/>
      <c r="BQG41" s="3"/>
      <c r="BQH41" s="3"/>
      <c r="BQI41" s="3"/>
      <c r="BQJ41" s="3"/>
      <c r="BQK41" s="3"/>
      <c r="BQL41" s="3"/>
      <c r="BQM41" s="3"/>
      <c r="BQN41" s="3"/>
      <c r="BQO41" s="3"/>
      <c r="BQP41" s="3"/>
      <c r="BQQ41" s="3"/>
      <c r="BQR41" s="3"/>
      <c r="BQS41" s="3"/>
      <c r="BQT41" s="3"/>
      <c r="BQU41" s="3"/>
      <c r="BQV41" s="3"/>
      <c r="BQW41" s="3"/>
      <c r="BQX41" s="3"/>
      <c r="BQY41" s="3"/>
      <c r="BQZ41" s="3"/>
      <c r="BRA41" s="3"/>
      <c r="BRB41" s="3"/>
      <c r="BRC41" s="3"/>
      <c r="BRD41" s="3"/>
      <c r="BRE41" s="3"/>
      <c r="BRF41" s="3"/>
      <c r="BRG41" s="3"/>
      <c r="BRH41" s="3"/>
      <c r="BRI41" s="3"/>
      <c r="BRJ41" s="3"/>
      <c r="BRK41" s="3"/>
      <c r="BRL41" s="3"/>
      <c r="BRM41" s="3"/>
      <c r="BRN41" s="3"/>
      <c r="BRO41" s="3"/>
      <c r="BRP41" s="3"/>
      <c r="BRQ41" s="3"/>
      <c r="BRR41" s="3"/>
      <c r="BRS41" s="3"/>
      <c r="BRT41" s="3"/>
      <c r="BRU41" s="3"/>
      <c r="BRV41" s="3"/>
      <c r="BRW41" s="3"/>
      <c r="BRX41" s="3"/>
      <c r="BRY41" s="3"/>
      <c r="BRZ41" s="3"/>
      <c r="BSA41" s="3"/>
      <c r="BSB41" s="3"/>
      <c r="BSC41" s="3"/>
      <c r="BSD41" s="3"/>
      <c r="BSE41" s="3"/>
      <c r="BSF41" s="3"/>
      <c r="BSG41" s="3"/>
      <c r="BSH41" s="3"/>
      <c r="BSI41" s="3"/>
      <c r="BSJ41" s="3"/>
      <c r="BSK41" s="3"/>
      <c r="BSL41" s="3"/>
      <c r="BSM41" s="3"/>
      <c r="BSN41" s="3"/>
      <c r="BSO41" s="3"/>
      <c r="BSP41" s="3"/>
      <c r="BSQ41" s="3"/>
      <c r="BSR41" s="3"/>
      <c r="BSS41" s="3"/>
      <c r="BST41" s="3"/>
      <c r="BSU41" s="3"/>
      <c r="BSV41" s="3"/>
      <c r="BSW41" s="3"/>
      <c r="BSX41" s="3"/>
      <c r="BSY41" s="3"/>
      <c r="BSZ41" s="3"/>
      <c r="BTA41" s="3"/>
      <c r="BTB41" s="3"/>
      <c r="BTC41" s="3"/>
      <c r="BTD41" s="3"/>
      <c r="BTE41" s="3"/>
      <c r="BTF41" s="3"/>
      <c r="BTG41" s="3"/>
      <c r="BTH41" s="3"/>
      <c r="BTI41" s="3"/>
      <c r="BTJ41" s="3"/>
      <c r="BTK41" s="3"/>
      <c r="BTL41" s="3"/>
      <c r="BTM41" s="3"/>
      <c r="BTN41" s="3"/>
      <c r="BTO41" s="3"/>
      <c r="BTP41" s="3"/>
      <c r="BTQ41" s="3"/>
      <c r="BTR41" s="3"/>
      <c r="BTS41" s="3"/>
      <c r="BTT41" s="3"/>
      <c r="BTU41" s="3"/>
      <c r="BTV41" s="3"/>
      <c r="BTW41" s="3"/>
      <c r="BTX41" s="3"/>
      <c r="BTY41" s="3"/>
      <c r="BTZ41" s="3"/>
      <c r="BUA41" s="3"/>
      <c r="BUB41" s="3"/>
      <c r="BUC41" s="3"/>
      <c r="BUD41" s="3"/>
      <c r="BUE41" s="3"/>
      <c r="BUF41" s="3"/>
      <c r="BUG41" s="3"/>
      <c r="BUH41" s="3"/>
      <c r="BUI41" s="3"/>
      <c r="BUJ41" s="3"/>
      <c r="BUK41" s="3"/>
      <c r="BUL41" s="3"/>
      <c r="BUM41" s="3"/>
      <c r="BUN41" s="3"/>
      <c r="BUO41" s="3"/>
      <c r="BUP41" s="3"/>
      <c r="BUQ41" s="3"/>
      <c r="BUR41" s="3"/>
      <c r="BUS41" s="3"/>
      <c r="BUT41" s="3"/>
      <c r="BUU41" s="3"/>
      <c r="BUV41" s="3"/>
      <c r="BUW41" s="3"/>
      <c r="BUX41" s="3"/>
      <c r="BUY41" s="3"/>
      <c r="BUZ41" s="3"/>
      <c r="BVA41" s="3"/>
      <c r="BVB41" s="3"/>
      <c r="BVC41" s="3"/>
      <c r="BVD41" s="3"/>
      <c r="BVE41" s="3"/>
      <c r="BVF41" s="3"/>
      <c r="BVG41" s="3"/>
      <c r="BVH41" s="3"/>
      <c r="BVI41" s="3"/>
      <c r="BVJ41" s="3"/>
      <c r="BVK41" s="3"/>
      <c r="BVL41" s="3"/>
      <c r="BVM41" s="3"/>
      <c r="BVN41" s="3"/>
      <c r="BVO41" s="3"/>
      <c r="BVP41" s="3"/>
      <c r="BVQ41" s="3"/>
      <c r="BVR41" s="3"/>
      <c r="BVS41" s="3"/>
      <c r="BVT41" s="3"/>
      <c r="BVU41" s="3"/>
      <c r="BVV41" s="3"/>
      <c r="BVW41" s="3"/>
      <c r="BVX41" s="3"/>
      <c r="BVY41" s="3"/>
      <c r="BVZ41" s="3"/>
      <c r="BWA41" s="3"/>
      <c r="BWB41" s="3"/>
      <c r="BWC41" s="3"/>
      <c r="BWD41" s="3"/>
      <c r="BWE41" s="3"/>
      <c r="BWF41" s="3"/>
      <c r="BWG41" s="3"/>
      <c r="BWH41" s="3"/>
      <c r="BWI41" s="3"/>
      <c r="BWJ41" s="3"/>
      <c r="BWK41" s="3"/>
      <c r="BWL41" s="3"/>
      <c r="BWM41" s="3"/>
      <c r="BWN41" s="3"/>
      <c r="BWO41" s="3"/>
      <c r="BWP41" s="3"/>
      <c r="BWQ41" s="3"/>
      <c r="BWR41" s="3"/>
      <c r="BWS41" s="3"/>
      <c r="BWT41" s="3"/>
      <c r="BWU41" s="3"/>
      <c r="BWV41" s="3"/>
      <c r="BWW41" s="3"/>
      <c r="BWX41" s="3"/>
      <c r="BWY41" s="3"/>
      <c r="BWZ41" s="3"/>
      <c r="BXA41" s="3"/>
      <c r="BXB41" s="3"/>
      <c r="BXC41" s="3"/>
      <c r="BXD41" s="3"/>
      <c r="BXE41" s="3"/>
      <c r="BXF41" s="3"/>
      <c r="BXG41" s="3"/>
      <c r="BXH41" s="3"/>
      <c r="BXI41" s="3"/>
      <c r="BXJ41" s="3"/>
      <c r="BXK41" s="3"/>
      <c r="BXL41" s="3"/>
      <c r="BXM41" s="3"/>
      <c r="BXN41" s="3"/>
      <c r="BXO41" s="3"/>
      <c r="BXP41" s="3"/>
      <c r="BXQ41" s="3"/>
      <c r="BXR41" s="3"/>
      <c r="BXS41" s="3"/>
      <c r="BXT41" s="3"/>
      <c r="BXU41" s="3"/>
      <c r="BXV41" s="3"/>
      <c r="BXW41" s="3"/>
      <c r="BXX41" s="3"/>
      <c r="BXY41" s="3"/>
      <c r="BXZ41" s="3"/>
      <c r="BYA41" s="3"/>
      <c r="BYB41" s="3"/>
      <c r="BYC41" s="3"/>
      <c r="BYD41" s="3"/>
      <c r="BYE41" s="3"/>
      <c r="BYF41" s="3"/>
      <c r="BYG41" s="3"/>
    </row>
    <row r="42" spans="1:2009" s="85" customFormat="1" ht="24.95" customHeight="1" x14ac:dyDescent="0.25">
      <c r="A42" s="112"/>
      <c r="B42" s="86" t="s">
        <v>333</v>
      </c>
      <c r="C42" s="155"/>
      <c r="D42" s="155">
        <v>30</v>
      </c>
      <c r="E42" s="156"/>
      <c r="F42" s="156"/>
      <c r="G42" s="524">
        <f>ROUND(SUM(C42:F42),5)</f>
        <v>30</v>
      </c>
      <c r="H42" s="3"/>
      <c r="I42" s="26"/>
      <c r="J42" s="78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c r="AJY42" s="3"/>
      <c r="AJZ42" s="3"/>
      <c r="AKA42" s="3"/>
      <c r="AKB42" s="3"/>
      <c r="AKC42" s="3"/>
      <c r="AKD42" s="3"/>
      <c r="AKE42" s="3"/>
      <c r="AKF42" s="3"/>
      <c r="AKG42" s="3"/>
      <c r="AKH42" s="3"/>
      <c r="AKI42" s="3"/>
      <c r="AKJ42" s="3"/>
      <c r="AKK42" s="3"/>
      <c r="AKL42" s="3"/>
      <c r="AKM42" s="3"/>
      <c r="AKN42" s="3"/>
      <c r="AKO42" s="3"/>
      <c r="AKP42" s="3"/>
      <c r="AKQ42" s="3"/>
      <c r="AKR42" s="3"/>
      <c r="AKS42" s="3"/>
      <c r="AKT42" s="3"/>
      <c r="AKU42" s="3"/>
      <c r="AKV42" s="3"/>
      <c r="AKW42" s="3"/>
      <c r="AKX42" s="3"/>
      <c r="AKY42" s="3"/>
      <c r="AKZ42" s="3"/>
      <c r="ALA42" s="3"/>
      <c r="ALB42" s="3"/>
      <c r="ALC42" s="3"/>
      <c r="ALD42" s="3"/>
      <c r="ALE42" s="3"/>
      <c r="ALF42" s="3"/>
      <c r="ALG42" s="3"/>
      <c r="ALH42" s="3"/>
      <c r="ALI42" s="3"/>
      <c r="ALJ42" s="3"/>
      <c r="ALK42" s="3"/>
      <c r="ALL42" s="3"/>
      <c r="ALM42" s="3"/>
      <c r="ALN42" s="3"/>
      <c r="ALO42" s="3"/>
      <c r="ALP42" s="3"/>
      <c r="ALQ42" s="3"/>
      <c r="ALR42" s="3"/>
      <c r="ALS42" s="3"/>
      <c r="ALT42" s="3"/>
      <c r="ALU42" s="3"/>
      <c r="ALV42" s="3"/>
      <c r="ALW42" s="3"/>
      <c r="ALX42" s="3"/>
      <c r="ALY42" s="3"/>
      <c r="ALZ42" s="3"/>
      <c r="AMA42" s="3"/>
      <c r="AMB42" s="3"/>
      <c r="AMC42" s="3"/>
      <c r="AMD42" s="3"/>
      <c r="AME42" s="3"/>
      <c r="AMF42" s="3"/>
      <c r="AMG42" s="3"/>
      <c r="AMH42" s="3"/>
      <c r="AMI42" s="3"/>
      <c r="AMJ42" s="3"/>
      <c r="AMK42" s="3"/>
      <c r="AML42" s="3"/>
      <c r="AMM42" s="3"/>
      <c r="AMN42" s="3"/>
      <c r="AMO42" s="3"/>
      <c r="AMP42" s="3"/>
      <c r="AMQ42" s="3"/>
      <c r="AMR42" s="3"/>
      <c r="AMS42" s="3"/>
      <c r="AMT42" s="3"/>
      <c r="AMU42" s="3"/>
      <c r="AMV42" s="3"/>
      <c r="AMW42" s="3"/>
      <c r="AMX42" s="3"/>
      <c r="AMY42" s="3"/>
      <c r="AMZ42" s="3"/>
      <c r="ANA42" s="3"/>
      <c r="ANB42" s="3"/>
      <c r="ANC42" s="3"/>
      <c r="AND42" s="3"/>
      <c r="ANE42" s="3"/>
      <c r="ANF42" s="3"/>
      <c r="ANG42" s="3"/>
      <c r="ANH42" s="3"/>
      <c r="ANI42" s="3"/>
      <c r="ANJ42" s="3"/>
      <c r="ANK42" s="3"/>
      <c r="ANL42" s="3"/>
      <c r="ANM42" s="3"/>
      <c r="ANN42" s="3"/>
      <c r="ANO42" s="3"/>
      <c r="ANP42" s="3"/>
      <c r="ANQ42" s="3"/>
      <c r="ANR42" s="3"/>
      <c r="ANS42" s="3"/>
      <c r="ANT42" s="3"/>
      <c r="ANU42" s="3"/>
      <c r="ANV42" s="3"/>
      <c r="ANW42" s="3"/>
      <c r="ANX42" s="3"/>
      <c r="ANY42" s="3"/>
      <c r="ANZ42" s="3"/>
      <c r="AOA42" s="3"/>
      <c r="AOB42" s="3"/>
      <c r="AOC42" s="3"/>
      <c r="AOD42" s="3"/>
      <c r="AOE42" s="3"/>
      <c r="AOF42" s="3"/>
      <c r="AOG42" s="3"/>
      <c r="AOH42" s="3"/>
      <c r="AOI42" s="3"/>
      <c r="AOJ42" s="3"/>
      <c r="AOK42" s="3"/>
      <c r="AOL42" s="3"/>
      <c r="AOM42" s="3"/>
      <c r="AON42" s="3"/>
      <c r="AOO42" s="3"/>
      <c r="AOP42" s="3"/>
      <c r="AOQ42" s="3"/>
      <c r="AOR42" s="3"/>
      <c r="AOS42" s="3"/>
      <c r="AOT42" s="3"/>
      <c r="AOU42" s="3"/>
      <c r="AOV42" s="3"/>
      <c r="AOW42" s="3"/>
      <c r="AOX42" s="3"/>
      <c r="AOY42" s="3"/>
      <c r="AOZ42" s="3"/>
      <c r="APA42" s="3"/>
      <c r="APB42" s="3"/>
      <c r="APC42" s="3"/>
      <c r="APD42" s="3"/>
      <c r="APE42" s="3"/>
      <c r="APF42" s="3"/>
      <c r="APG42" s="3"/>
      <c r="APH42" s="3"/>
      <c r="API42" s="3"/>
      <c r="APJ42" s="3"/>
      <c r="APK42" s="3"/>
      <c r="APL42" s="3"/>
      <c r="APM42" s="3"/>
      <c r="APN42" s="3"/>
      <c r="APO42" s="3"/>
      <c r="APP42" s="3"/>
      <c r="APQ42" s="3"/>
      <c r="APR42" s="3"/>
      <c r="APS42" s="3"/>
      <c r="APT42" s="3"/>
      <c r="APU42" s="3"/>
      <c r="APV42" s="3"/>
      <c r="APW42" s="3"/>
      <c r="APX42" s="3"/>
      <c r="APY42" s="3"/>
      <c r="APZ42" s="3"/>
      <c r="AQA42" s="3"/>
      <c r="AQB42" s="3"/>
      <c r="AQC42" s="3"/>
      <c r="AQD42" s="3"/>
      <c r="AQE42" s="3"/>
      <c r="AQF42" s="3"/>
      <c r="AQG42" s="3"/>
      <c r="AQH42" s="3"/>
      <c r="AQI42" s="3"/>
      <c r="AQJ42" s="3"/>
      <c r="AQK42" s="3"/>
      <c r="AQL42" s="3"/>
      <c r="AQM42" s="3"/>
      <c r="AQN42" s="3"/>
      <c r="AQO42" s="3"/>
      <c r="AQP42" s="3"/>
      <c r="AQQ42" s="3"/>
      <c r="AQR42" s="3"/>
      <c r="AQS42" s="3"/>
      <c r="AQT42" s="3"/>
      <c r="AQU42" s="3"/>
      <c r="AQV42" s="3"/>
      <c r="AQW42" s="3"/>
      <c r="AQX42" s="3"/>
      <c r="AQY42" s="3"/>
      <c r="AQZ42" s="3"/>
      <c r="ARA42" s="3"/>
      <c r="ARB42" s="3"/>
      <c r="ARC42" s="3"/>
      <c r="ARD42" s="3"/>
      <c r="ARE42" s="3"/>
      <c r="ARF42" s="3"/>
      <c r="ARG42" s="3"/>
      <c r="ARH42" s="3"/>
      <c r="ARI42" s="3"/>
      <c r="ARJ42" s="3"/>
      <c r="ARK42" s="3"/>
      <c r="ARL42" s="3"/>
      <c r="ARM42" s="3"/>
      <c r="ARN42" s="3"/>
      <c r="ARO42" s="3"/>
      <c r="ARP42" s="3"/>
      <c r="ARQ42" s="3"/>
      <c r="ARR42" s="3"/>
      <c r="ARS42" s="3"/>
      <c r="ART42" s="3"/>
      <c r="ARU42" s="3"/>
      <c r="ARV42" s="3"/>
      <c r="ARW42" s="3"/>
      <c r="ARX42" s="3"/>
      <c r="ARY42" s="3"/>
      <c r="ARZ42" s="3"/>
      <c r="ASA42" s="3"/>
      <c r="ASB42" s="3"/>
      <c r="ASC42" s="3"/>
      <c r="ASD42" s="3"/>
      <c r="ASE42" s="3"/>
      <c r="ASF42" s="3"/>
      <c r="ASG42" s="3"/>
      <c r="ASH42" s="3"/>
      <c r="ASI42" s="3"/>
      <c r="ASJ42" s="3"/>
      <c r="ASK42" s="3"/>
      <c r="ASL42" s="3"/>
      <c r="ASM42" s="3"/>
      <c r="ASN42" s="3"/>
      <c r="ASO42" s="3"/>
      <c r="ASP42" s="3"/>
      <c r="ASQ42" s="3"/>
      <c r="ASR42" s="3"/>
      <c r="ASS42" s="3"/>
      <c r="AST42" s="3"/>
      <c r="ASU42" s="3"/>
      <c r="ASV42" s="3"/>
      <c r="ASW42" s="3"/>
      <c r="ASX42" s="3"/>
      <c r="ASY42" s="3"/>
      <c r="ASZ42" s="3"/>
      <c r="ATA42" s="3"/>
      <c r="ATB42" s="3"/>
      <c r="ATC42" s="3"/>
      <c r="ATD42" s="3"/>
      <c r="ATE42" s="3"/>
      <c r="ATF42" s="3"/>
      <c r="ATG42" s="3"/>
      <c r="ATH42" s="3"/>
      <c r="ATI42" s="3"/>
      <c r="ATJ42" s="3"/>
      <c r="ATK42" s="3"/>
      <c r="ATL42" s="3"/>
      <c r="ATM42" s="3"/>
      <c r="ATN42" s="3"/>
      <c r="ATO42" s="3"/>
      <c r="ATP42" s="3"/>
      <c r="ATQ42" s="3"/>
      <c r="ATR42" s="3"/>
      <c r="ATS42" s="3"/>
      <c r="ATT42" s="3"/>
      <c r="ATU42" s="3"/>
      <c r="ATV42" s="3"/>
      <c r="ATW42" s="3"/>
      <c r="ATX42" s="3"/>
      <c r="ATY42" s="3"/>
      <c r="ATZ42" s="3"/>
      <c r="AUA42" s="3"/>
      <c r="AUB42" s="3"/>
      <c r="AUC42" s="3"/>
      <c r="AUD42" s="3"/>
      <c r="AUE42" s="3"/>
      <c r="AUF42" s="3"/>
      <c r="AUG42" s="3"/>
      <c r="AUH42" s="3"/>
      <c r="AUI42" s="3"/>
      <c r="AUJ42" s="3"/>
      <c r="AUK42" s="3"/>
      <c r="AUL42" s="3"/>
      <c r="AUM42" s="3"/>
      <c r="AUN42" s="3"/>
      <c r="AUO42" s="3"/>
      <c r="AUP42" s="3"/>
      <c r="AUQ42" s="3"/>
      <c r="AUR42" s="3"/>
      <c r="AUS42" s="3"/>
      <c r="AUT42" s="3"/>
      <c r="AUU42" s="3"/>
      <c r="AUV42" s="3"/>
      <c r="AUW42" s="3"/>
      <c r="AUX42" s="3"/>
      <c r="AUY42" s="3"/>
      <c r="AUZ42" s="3"/>
      <c r="AVA42" s="3"/>
      <c r="AVB42" s="3"/>
      <c r="AVC42" s="3"/>
      <c r="AVD42" s="3"/>
      <c r="AVE42" s="3"/>
      <c r="AVF42" s="3"/>
      <c r="AVG42" s="3"/>
      <c r="AVH42" s="3"/>
      <c r="AVI42" s="3"/>
      <c r="AVJ42" s="3"/>
      <c r="AVK42" s="3"/>
      <c r="AVL42" s="3"/>
      <c r="AVM42" s="3"/>
      <c r="AVN42" s="3"/>
      <c r="AVO42" s="3"/>
      <c r="AVP42" s="3"/>
      <c r="AVQ42" s="3"/>
      <c r="AVR42" s="3"/>
      <c r="AVS42" s="3"/>
      <c r="AVT42" s="3"/>
      <c r="AVU42" s="3"/>
      <c r="AVV42" s="3"/>
      <c r="AVW42" s="3"/>
      <c r="AVX42" s="3"/>
      <c r="AVY42" s="3"/>
      <c r="AVZ42" s="3"/>
      <c r="AWA42" s="3"/>
      <c r="AWB42" s="3"/>
      <c r="AWC42" s="3"/>
      <c r="AWD42" s="3"/>
      <c r="AWE42" s="3"/>
      <c r="AWF42" s="3"/>
      <c r="AWG42" s="3"/>
      <c r="AWH42" s="3"/>
      <c r="AWI42" s="3"/>
      <c r="AWJ42" s="3"/>
      <c r="AWK42" s="3"/>
      <c r="AWL42" s="3"/>
      <c r="AWM42" s="3"/>
      <c r="AWN42" s="3"/>
      <c r="AWO42" s="3"/>
      <c r="AWP42" s="3"/>
      <c r="AWQ42" s="3"/>
      <c r="AWR42" s="3"/>
      <c r="AWS42" s="3"/>
      <c r="AWT42" s="3"/>
      <c r="AWU42" s="3"/>
      <c r="AWV42" s="3"/>
      <c r="AWW42" s="3"/>
      <c r="AWX42" s="3"/>
      <c r="AWY42" s="3"/>
      <c r="AWZ42" s="3"/>
      <c r="AXA42" s="3"/>
      <c r="AXB42" s="3"/>
      <c r="AXC42" s="3"/>
      <c r="AXD42" s="3"/>
      <c r="AXE42" s="3"/>
      <c r="AXF42" s="3"/>
      <c r="AXG42" s="3"/>
      <c r="AXH42" s="3"/>
      <c r="AXI42" s="3"/>
      <c r="AXJ42" s="3"/>
      <c r="AXK42" s="3"/>
      <c r="AXL42" s="3"/>
      <c r="AXM42" s="3"/>
      <c r="AXN42" s="3"/>
      <c r="AXO42" s="3"/>
      <c r="AXP42" s="3"/>
      <c r="AXQ42" s="3"/>
      <c r="AXR42" s="3"/>
      <c r="AXS42" s="3"/>
      <c r="AXT42" s="3"/>
      <c r="AXU42" s="3"/>
      <c r="AXV42" s="3"/>
      <c r="AXW42" s="3"/>
      <c r="AXX42" s="3"/>
      <c r="AXY42" s="3"/>
      <c r="AXZ42" s="3"/>
      <c r="AYA42" s="3"/>
      <c r="AYB42" s="3"/>
      <c r="AYC42" s="3"/>
      <c r="AYD42" s="3"/>
      <c r="AYE42" s="3"/>
      <c r="AYF42" s="3"/>
      <c r="AYG42" s="3"/>
      <c r="AYH42" s="3"/>
      <c r="AYI42" s="3"/>
      <c r="AYJ42" s="3"/>
      <c r="AYK42" s="3"/>
      <c r="AYL42" s="3"/>
      <c r="AYM42" s="3"/>
      <c r="AYN42" s="3"/>
      <c r="AYO42" s="3"/>
      <c r="AYP42" s="3"/>
      <c r="AYQ42" s="3"/>
      <c r="AYR42" s="3"/>
      <c r="AYS42" s="3"/>
      <c r="AYT42" s="3"/>
      <c r="AYU42" s="3"/>
      <c r="AYV42" s="3"/>
      <c r="AYW42" s="3"/>
      <c r="AYX42" s="3"/>
      <c r="AYY42" s="3"/>
      <c r="AYZ42" s="3"/>
      <c r="AZA42" s="3"/>
      <c r="AZB42" s="3"/>
      <c r="AZC42" s="3"/>
      <c r="AZD42" s="3"/>
      <c r="AZE42" s="3"/>
      <c r="AZF42" s="3"/>
      <c r="AZG42" s="3"/>
      <c r="AZH42" s="3"/>
      <c r="AZI42" s="3"/>
      <c r="AZJ42" s="3"/>
      <c r="AZK42" s="3"/>
      <c r="AZL42" s="3"/>
      <c r="AZM42" s="3"/>
      <c r="AZN42" s="3"/>
      <c r="AZO42" s="3"/>
      <c r="AZP42" s="3"/>
      <c r="AZQ42" s="3"/>
      <c r="AZR42" s="3"/>
      <c r="AZS42" s="3"/>
      <c r="AZT42" s="3"/>
      <c r="AZU42" s="3"/>
      <c r="AZV42" s="3"/>
      <c r="AZW42" s="3"/>
      <c r="AZX42" s="3"/>
      <c r="AZY42" s="3"/>
      <c r="AZZ42" s="3"/>
      <c r="BAA42" s="3"/>
      <c r="BAB42" s="3"/>
      <c r="BAC42" s="3"/>
      <c r="BAD42" s="3"/>
      <c r="BAE42" s="3"/>
      <c r="BAF42" s="3"/>
      <c r="BAG42" s="3"/>
      <c r="BAH42" s="3"/>
      <c r="BAI42" s="3"/>
      <c r="BAJ42" s="3"/>
      <c r="BAK42" s="3"/>
      <c r="BAL42" s="3"/>
      <c r="BAM42" s="3"/>
      <c r="BAN42" s="3"/>
      <c r="BAO42" s="3"/>
      <c r="BAP42" s="3"/>
      <c r="BAQ42" s="3"/>
      <c r="BAR42" s="3"/>
      <c r="BAS42" s="3"/>
      <c r="BAT42" s="3"/>
      <c r="BAU42" s="3"/>
      <c r="BAV42" s="3"/>
      <c r="BAW42" s="3"/>
      <c r="BAX42" s="3"/>
      <c r="BAY42" s="3"/>
      <c r="BAZ42" s="3"/>
      <c r="BBA42" s="3"/>
      <c r="BBB42" s="3"/>
      <c r="BBC42" s="3"/>
      <c r="BBD42" s="3"/>
      <c r="BBE42" s="3"/>
      <c r="BBF42" s="3"/>
      <c r="BBG42" s="3"/>
      <c r="BBH42" s="3"/>
      <c r="BBI42" s="3"/>
      <c r="BBJ42" s="3"/>
      <c r="BBK42" s="3"/>
      <c r="BBL42" s="3"/>
      <c r="BBM42" s="3"/>
      <c r="BBN42" s="3"/>
      <c r="BBO42" s="3"/>
      <c r="BBP42" s="3"/>
      <c r="BBQ42" s="3"/>
      <c r="BBR42" s="3"/>
      <c r="BBS42" s="3"/>
      <c r="BBT42" s="3"/>
      <c r="BBU42" s="3"/>
      <c r="BBV42" s="3"/>
      <c r="BBW42" s="3"/>
      <c r="BBX42" s="3"/>
      <c r="BBY42" s="3"/>
      <c r="BBZ42" s="3"/>
      <c r="BCA42" s="3"/>
      <c r="BCB42" s="3"/>
      <c r="BCC42" s="3"/>
      <c r="BCD42" s="3"/>
      <c r="BCE42" s="3"/>
      <c r="BCF42" s="3"/>
      <c r="BCG42" s="3"/>
      <c r="BCH42" s="3"/>
      <c r="BCI42" s="3"/>
      <c r="BCJ42" s="3"/>
      <c r="BCK42" s="3"/>
      <c r="BCL42" s="3"/>
      <c r="BCM42" s="3"/>
      <c r="BCN42" s="3"/>
      <c r="BCO42" s="3"/>
      <c r="BCP42" s="3"/>
      <c r="BCQ42" s="3"/>
      <c r="BCR42" s="3"/>
      <c r="BCS42" s="3"/>
      <c r="BCT42" s="3"/>
      <c r="BCU42" s="3"/>
      <c r="BCV42" s="3"/>
      <c r="BCW42" s="3"/>
      <c r="BCX42" s="3"/>
      <c r="BCY42" s="3"/>
      <c r="BCZ42" s="3"/>
      <c r="BDA42" s="3"/>
      <c r="BDB42" s="3"/>
      <c r="BDC42" s="3"/>
      <c r="BDD42" s="3"/>
      <c r="BDE42" s="3"/>
      <c r="BDF42" s="3"/>
      <c r="BDG42" s="3"/>
      <c r="BDH42" s="3"/>
      <c r="BDI42" s="3"/>
      <c r="BDJ42" s="3"/>
      <c r="BDK42" s="3"/>
      <c r="BDL42" s="3"/>
      <c r="BDM42" s="3"/>
      <c r="BDN42" s="3"/>
      <c r="BDO42" s="3"/>
      <c r="BDP42" s="3"/>
      <c r="BDQ42" s="3"/>
      <c r="BDR42" s="3"/>
      <c r="BDS42" s="3"/>
      <c r="BDT42" s="3"/>
      <c r="BDU42" s="3"/>
      <c r="BDV42" s="3"/>
      <c r="BDW42" s="3"/>
      <c r="BDX42" s="3"/>
      <c r="BDY42" s="3"/>
      <c r="BDZ42" s="3"/>
      <c r="BEA42" s="3"/>
      <c r="BEB42" s="3"/>
      <c r="BEC42" s="3"/>
      <c r="BED42" s="3"/>
      <c r="BEE42" s="3"/>
      <c r="BEF42" s="3"/>
      <c r="BEG42" s="3"/>
      <c r="BEH42" s="3"/>
      <c r="BEI42" s="3"/>
      <c r="BEJ42" s="3"/>
      <c r="BEK42" s="3"/>
      <c r="BEL42" s="3"/>
      <c r="BEM42" s="3"/>
      <c r="BEN42" s="3"/>
      <c r="BEO42" s="3"/>
      <c r="BEP42" s="3"/>
      <c r="BEQ42" s="3"/>
      <c r="BER42" s="3"/>
      <c r="BES42" s="3"/>
      <c r="BET42" s="3"/>
      <c r="BEU42" s="3"/>
      <c r="BEV42" s="3"/>
      <c r="BEW42" s="3"/>
      <c r="BEX42" s="3"/>
      <c r="BEY42" s="3"/>
      <c r="BEZ42" s="3"/>
      <c r="BFA42" s="3"/>
      <c r="BFB42" s="3"/>
      <c r="BFC42" s="3"/>
      <c r="BFD42" s="3"/>
      <c r="BFE42" s="3"/>
      <c r="BFF42" s="3"/>
      <c r="BFG42" s="3"/>
      <c r="BFH42" s="3"/>
      <c r="BFI42" s="3"/>
      <c r="BFJ42" s="3"/>
      <c r="BFK42" s="3"/>
      <c r="BFL42" s="3"/>
      <c r="BFM42" s="3"/>
      <c r="BFN42" s="3"/>
      <c r="BFO42" s="3"/>
      <c r="BFP42" s="3"/>
      <c r="BFQ42" s="3"/>
      <c r="BFR42" s="3"/>
      <c r="BFS42" s="3"/>
      <c r="BFT42" s="3"/>
      <c r="BFU42" s="3"/>
      <c r="BFV42" s="3"/>
      <c r="BFW42" s="3"/>
      <c r="BFX42" s="3"/>
      <c r="BFY42" s="3"/>
      <c r="BFZ42" s="3"/>
      <c r="BGA42" s="3"/>
      <c r="BGB42" s="3"/>
      <c r="BGC42" s="3"/>
      <c r="BGD42" s="3"/>
      <c r="BGE42" s="3"/>
      <c r="BGF42" s="3"/>
      <c r="BGG42" s="3"/>
      <c r="BGH42" s="3"/>
      <c r="BGI42" s="3"/>
      <c r="BGJ42" s="3"/>
      <c r="BGK42" s="3"/>
      <c r="BGL42" s="3"/>
      <c r="BGM42" s="3"/>
      <c r="BGN42" s="3"/>
      <c r="BGO42" s="3"/>
      <c r="BGP42" s="3"/>
      <c r="BGQ42" s="3"/>
      <c r="BGR42" s="3"/>
      <c r="BGS42" s="3"/>
      <c r="BGT42" s="3"/>
      <c r="BGU42" s="3"/>
      <c r="BGV42" s="3"/>
      <c r="BGW42" s="3"/>
      <c r="BGX42" s="3"/>
      <c r="BGY42" s="3"/>
      <c r="BGZ42" s="3"/>
      <c r="BHA42" s="3"/>
      <c r="BHB42" s="3"/>
      <c r="BHC42" s="3"/>
      <c r="BHD42" s="3"/>
      <c r="BHE42" s="3"/>
      <c r="BHF42" s="3"/>
      <c r="BHG42" s="3"/>
      <c r="BHH42" s="3"/>
      <c r="BHI42" s="3"/>
      <c r="BHJ42" s="3"/>
      <c r="BHK42" s="3"/>
      <c r="BHL42" s="3"/>
      <c r="BHM42" s="3"/>
      <c r="BHN42" s="3"/>
      <c r="BHO42" s="3"/>
      <c r="BHP42" s="3"/>
      <c r="BHQ42" s="3"/>
      <c r="BHR42" s="3"/>
      <c r="BHS42" s="3"/>
      <c r="BHT42" s="3"/>
      <c r="BHU42" s="3"/>
      <c r="BHV42" s="3"/>
      <c r="BHW42" s="3"/>
      <c r="BHX42" s="3"/>
      <c r="BHY42" s="3"/>
      <c r="BHZ42" s="3"/>
      <c r="BIA42" s="3"/>
      <c r="BIB42" s="3"/>
      <c r="BIC42" s="3"/>
      <c r="BID42" s="3"/>
      <c r="BIE42" s="3"/>
      <c r="BIF42" s="3"/>
      <c r="BIG42" s="3"/>
      <c r="BIH42" s="3"/>
      <c r="BII42" s="3"/>
      <c r="BIJ42" s="3"/>
      <c r="BIK42" s="3"/>
      <c r="BIL42" s="3"/>
      <c r="BIM42" s="3"/>
      <c r="BIN42" s="3"/>
      <c r="BIO42" s="3"/>
      <c r="BIP42" s="3"/>
      <c r="BIQ42" s="3"/>
      <c r="BIR42" s="3"/>
      <c r="BIS42" s="3"/>
      <c r="BIT42" s="3"/>
      <c r="BIU42" s="3"/>
      <c r="BIV42" s="3"/>
      <c r="BIW42" s="3"/>
      <c r="BIX42" s="3"/>
      <c r="BIY42" s="3"/>
      <c r="BIZ42" s="3"/>
      <c r="BJA42" s="3"/>
      <c r="BJB42" s="3"/>
      <c r="BJC42" s="3"/>
      <c r="BJD42" s="3"/>
      <c r="BJE42" s="3"/>
      <c r="BJF42" s="3"/>
      <c r="BJG42" s="3"/>
      <c r="BJH42" s="3"/>
      <c r="BJI42" s="3"/>
      <c r="BJJ42" s="3"/>
      <c r="BJK42" s="3"/>
      <c r="BJL42" s="3"/>
      <c r="BJM42" s="3"/>
      <c r="BJN42" s="3"/>
      <c r="BJO42" s="3"/>
      <c r="BJP42" s="3"/>
      <c r="BJQ42" s="3"/>
      <c r="BJR42" s="3"/>
      <c r="BJS42" s="3"/>
      <c r="BJT42" s="3"/>
      <c r="BJU42" s="3"/>
      <c r="BJV42" s="3"/>
      <c r="BJW42" s="3"/>
      <c r="BJX42" s="3"/>
      <c r="BJY42" s="3"/>
      <c r="BJZ42" s="3"/>
      <c r="BKA42" s="3"/>
      <c r="BKB42" s="3"/>
      <c r="BKC42" s="3"/>
      <c r="BKD42" s="3"/>
      <c r="BKE42" s="3"/>
      <c r="BKF42" s="3"/>
      <c r="BKG42" s="3"/>
      <c r="BKH42" s="3"/>
      <c r="BKI42" s="3"/>
      <c r="BKJ42" s="3"/>
      <c r="BKK42" s="3"/>
      <c r="BKL42" s="3"/>
      <c r="BKM42" s="3"/>
      <c r="BKN42" s="3"/>
      <c r="BKO42" s="3"/>
      <c r="BKP42" s="3"/>
      <c r="BKQ42" s="3"/>
      <c r="BKR42" s="3"/>
      <c r="BKS42" s="3"/>
      <c r="BKT42" s="3"/>
      <c r="BKU42" s="3"/>
      <c r="BKV42" s="3"/>
      <c r="BKW42" s="3"/>
      <c r="BKX42" s="3"/>
      <c r="BKY42" s="3"/>
      <c r="BKZ42" s="3"/>
      <c r="BLA42" s="3"/>
      <c r="BLB42" s="3"/>
      <c r="BLC42" s="3"/>
      <c r="BLD42" s="3"/>
      <c r="BLE42" s="3"/>
      <c r="BLF42" s="3"/>
      <c r="BLG42" s="3"/>
      <c r="BLH42" s="3"/>
      <c r="BLI42" s="3"/>
      <c r="BLJ42" s="3"/>
      <c r="BLK42" s="3"/>
      <c r="BLL42" s="3"/>
      <c r="BLM42" s="3"/>
      <c r="BLN42" s="3"/>
      <c r="BLO42" s="3"/>
      <c r="BLP42" s="3"/>
      <c r="BLQ42" s="3"/>
      <c r="BLR42" s="3"/>
      <c r="BLS42" s="3"/>
      <c r="BLT42" s="3"/>
      <c r="BLU42" s="3"/>
      <c r="BLV42" s="3"/>
      <c r="BLW42" s="3"/>
      <c r="BLX42" s="3"/>
      <c r="BLY42" s="3"/>
      <c r="BLZ42" s="3"/>
      <c r="BMA42" s="3"/>
      <c r="BMB42" s="3"/>
      <c r="BMC42" s="3"/>
      <c r="BMD42" s="3"/>
      <c r="BME42" s="3"/>
      <c r="BMF42" s="3"/>
      <c r="BMG42" s="3"/>
      <c r="BMH42" s="3"/>
      <c r="BMI42" s="3"/>
      <c r="BMJ42" s="3"/>
      <c r="BMK42" s="3"/>
      <c r="BML42" s="3"/>
      <c r="BMM42" s="3"/>
      <c r="BMN42" s="3"/>
      <c r="BMO42" s="3"/>
      <c r="BMP42" s="3"/>
      <c r="BMQ42" s="3"/>
      <c r="BMR42" s="3"/>
      <c r="BMS42" s="3"/>
      <c r="BMT42" s="3"/>
      <c r="BMU42" s="3"/>
      <c r="BMV42" s="3"/>
      <c r="BMW42" s="3"/>
      <c r="BMX42" s="3"/>
      <c r="BMY42" s="3"/>
      <c r="BMZ42" s="3"/>
      <c r="BNA42" s="3"/>
      <c r="BNB42" s="3"/>
      <c r="BNC42" s="3"/>
      <c r="BND42" s="3"/>
      <c r="BNE42" s="3"/>
      <c r="BNF42" s="3"/>
      <c r="BNG42" s="3"/>
      <c r="BNH42" s="3"/>
      <c r="BNI42" s="3"/>
      <c r="BNJ42" s="3"/>
      <c r="BNK42" s="3"/>
      <c r="BNL42" s="3"/>
      <c r="BNM42" s="3"/>
      <c r="BNN42" s="3"/>
      <c r="BNO42" s="3"/>
      <c r="BNP42" s="3"/>
      <c r="BNQ42" s="3"/>
      <c r="BNR42" s="3"/>
      <c r="BNS42" s="3"/>
      <c r="BNT42" s="3"/>
      <c r="BNU42" s="3"/>
      <c r="BNV42" s="3"/>
      <c r="BNW42" s="3"/>
      <c r="BNX42" s="3"/>
      <c r="BNY42" s="3"/>
      <c r="BNZ42" s="3"/>
      <c r="BOA42" s="3"/>
      <c r="BOB42" s="3"/>
      <c r="BOC42" s="3"/>
      <c r="BOD42" s="3"/>
      <c r="BOE42" s="3"/>
      <c r="BOF42" s="3"/>
      <c r="BOG42" s="3"/>
      <c r="BOH42" s="3"/>
      <c r="BOI42" s="3"/>
      <c r="BOJ42" s="3"/>
      <c r="BOK42" s="3"/>
      <c r="BOL42" s="3"/>
      <c r="BOM42" s="3"/>
      <c r="BON42" s="3"/>
      <c r="BOO42" s="3"/>
      <c r="BOP42" s="3"/>
      <c r="BOQ42" s="3"/>
      <c r="BOR42" s="3"/>
      <c r="BOS42" s="3"/>
      <c r="BOT42" s="3"/>
      <c r="BOU42" s="3"/>
      <c r="BOV42" s="3"/>
      <c r="BOW42" s="3"/>
      <c r="BOX42" s="3"/>
      <c r="BOY42" s="3"/>
      <c r="BOZ42" s="3"/>
      <c r="BPA42" s="3"/>
      <c r="BPB42" s="3"/>
      <c r="BPC42" s="3"/>
      <c r="BPD42" s="3"/>
      <c r="BPE42" s="3"/>
      <c r="BPF42" s="3"/>
      <c r="BPG42" s="3"/>
      <c r="BPH42" s="3"/>
      <c r="BPI42" s="3"/>
      <c r="BPJ42" s="3"/>
      <c r="BPK42" s="3"/>
      <c r="BPL42" s="3"/>
      <c r="BPM42" s="3"/>
      <c r="BPN42" s="3"/>
      <c r="BPO42" s="3"/>
      <c r="BPP42" s="3"/>
      <c r="BPQ42" s="3"/>
      <c r="BPR42" s="3"/>
      <c r="BPS42" s="3"/>
      <c r="BPT42" s="3"/>
      <c r="BPU42" s="3"/>
      <c r="BPV42" s="3"/>
      <c r="BPW42" s="3"/>
      <c r="BPX42" s="3"/>
      <c r="BPY42" s="3"/>
      <c r="BPZ42" s="3"/>
      <c r="BQA42" s="3"/>
      <c r="BQB42" s="3"/>
      <c r="BQC42" s="3"/>
      <c r="BQD42" s="3"/>
      <c r="BQE42" s="3"/>
      <c r="BQF42" s="3"/>
      <c r="BQG42" s="3"/>
      <c r="BQH42" s="3"/>
      <c r="BQI42" s="3"/>
      <c r="BQJ42" s="3"/>
      <c r="BQK42" s="3"/>
      <c r="BQL42" s="3"/>
      <c r="BQM42" s="3"/>
      <c r="BQN42" s="3"/>
      <c r="BQO42" s="3"/>
      <c r="BQP42" s="3"/>
      <c r="BQQ42" s="3"/>
      <c r="BQR42" s="3"/>
      <c r="BQS42" s="3"/>
      <c r="BQT42" s="3"/>
      <c r="BQU42" s="3"/>
      <c r="BQV42" s="3"/>
      <c r="BQW42" s="3"/>
      <c r="BQX42" s="3"/>
      <c r="BQY42" s="3"/>
      <c r="BQZ42" s="3"/>
      <c r="BRA42" s="3"/>
      <c r="BRB42" s="3"/>
      <c r="BRC42" s="3"/>
      <c r="BRD42" s="3"/>
      <c r="BRE42" s="3"/>
      <c r="BRF42" s="3"/>
      <c r="BRG42" s="3"/>
      <c r="BRH42" s="3"/>
      <c r="BRI42" s="3"/>
      <c r="BRJ42" s="3"/>
      <c r="BRK42" s="3"/>
      <c r="BRL42" s="3"/>
      <c r="BRM42" s="3"/>
      <c r="BRN42" s="3"/>
      <c r="BRO42" s="3"/>
      <c r="BRP42" s="3"/>
      <c r="BRQ42" s="3"/>
      <c r="BRR42" s="3"/>
      <c r="BRS42" s="3"/>
      <c r="BRT42" s="3"/>
      <c r="BRU42" s="3"/>
      <c r="BRV42" s="3"/>
      <c r="BRW42" s="3"/>
      <c r="BRX42" s="3"/>
      <c r="BRY42" s="3"/>
      <c r="BRZ42" s="3"/>
      <c r="BSA42" s="3"/>
      <c r="BSB42" s="3"/>
      <c r="BSC42" s="3"/>
      <c r="BSD42" s="3"/>
      <c r="BSE42" s="3"/>
      <c r="BSF42" s="3"/>
      <c r="BSG42" s="3"/>
      <c r="BSH42" s="3"/>
      <c r="BSI42" s="3"/>
      <c r="BSJ42" s="3"/>
      <c r="BSK42" s="3"/>
      <c r="BSL42" s="3"/>
      <c r="BSM42" s="3"/>
      <c r="BSN42" s="3"/>
      <c r="BSO42" s="3"/>
      <c r="BSP42" s="3"/>
      <c r="BSQ42" s="3"/>
      <c r="BSR42" s="3"/>
      <c r="BSS42" s="3"/>
      <c r="BST42" s="3"/>
      <c r="BSU42" s="3"/>
      <c r="BSV42" s="3"/>
      <c r="BSW42" s="3"/>
      <c r="BSX42" s="3"/>
      <c r="BSY42" s="3"/>
      <c r="BSZ42" s="3"/>
      <c r="BTA42" s="3"/>
      <c r="BTB42" s="3"/>
      <c r="BTC42" s="3"/>
      <c r="BTD42" s="3"/>
      <c r="BTE42" s="3"/>
      <c r="BTF42" s="3"/>
      <c r="BTG42" s="3"/>
      <c r="BTH42" s="3"/>
      <c r="BTI42" s="3"/>
      <c r="BTJ42" s="3"/>
      <c r="BTK42" s="3"/>
      <c r="BTL42" s="3"/>
      <c r="BTM42" s="3"/>
      <c r="BTN42" s="3"/>
      <c r="BTO42" s="3"/>
      <c r="BTP42" s="3"/>
      <c r="BTQ42" s="3"/>
      <c r="BTR42" s="3"/>
      <c r="BTS42" s="3"/>
      <c r="BTT42" s="3"/>
      <c r="BTU42" s="3"/>
      <c r="BTV42" s="3"/>
      <c r="BTW42" s="3"/>
      <c r="BTX42" s="3"/>
      <c r="BTY42" s="3"/>
      <c r="BTZ42" s="3"/>
      <c r="BUA42" s="3"/>
      <c r="BUB42" s="3"/>
      <c r="BUC42" s="3"/>
      <c r="BUD42" s="3"/>
      <c r="BUE42" s="3"/>
      <c r="BUF42" s="3"/>
      <c r="BUG42" s="3"/>
      <c r="BUH42" s="3"/>
      <c r="BUI42" s="3"/>
      <c r="BUJ42" s="3"/>
      <c r="BUK42" s="3"/>
      <c r="BUL42" s="3"/>
      <c r="BUM42" s="3"/>
      <c r="BUN42" s="3"/>
      <c r="BUO42" s="3"/>
      <c r="BUP42" s="3"/>
      <c r="BUQ42" s="3"/>
      <c r="BUR42" s="3"/>
      <c r="BUS42" s="3"/>
      <c r="BUT42" s="3"/>
      <c r="BUU42" s="3"/>
      <c r="BUV42" s="3"/>
      <c r="BUW42" s="3"/>
      <c r="BUX42" s="3"/>
      <c r="BUY42" s="3"/>
      <c r="BUZ42" s="3"/>
      <c r="BVA42" s="3"/>
      <c r="BVB42" s="3"/>
      <c r="BVC42" s="3"/>
      <c r="BVD42" s="3"/>
      <c r="BVE42" s="3"/>
      <c r="BVF42" s="3"/>
      <c r="BVG42" s="3"/>
      <c r="BVH42" s="3"/>
      <c r="BVI42" s="3"/>
      <c r="BVJ42" s="3"/>
      <c r="BVK42" s="3"/>
      <c r="BVL42" s="3"/>
      <c r="BVM42" s="3"/>
      <c r="BVN42" s="3"/>
      <c r="BVO42" s="3"/>
      <c r="BVP42" s="3"/>
      <c r="BVQ42" s="3"/>
      <c r="BVR42" s="3"/>
      <c r="BVS42" s="3"/>
      <c r="BVT42" s="3"/>
      <c r="BVU42" s="3"/>
      <c r="BVV42" s="3"/>
      <c r="BVW42" s="3"/>
      <c r="BVX42" s="3"/>
      <c r="BVY42" s="3"/>
      <c r="BVZ42" s="3"/>
      <c r="BWA42" s="3"/>
      <c r="BWB42" s="3"/>
      <c r="BWC42" s="3"/>
      <c r="BWD42" s="3"/>
      <c r="BWE42" s="3"/>
      <c r="BWF42" s="3"/>
      <c r="BWG42" s="3"/>
      <c r="BWH42" s="3"/>
      <c r="BWI42" s="3"/>
      <c r="BWJ42" s="3"/>
      <c r="BWK42" s="3"/>
      <c r="BWL42" s="3"/>
      <c r="BWM42" s="3"/>
      <c r="BWN42" s="3"/>
      <c r="BWO42" s="3"/>
      <c r="BWP42" s="3"/>
      <c r="BWQ42" s="3"/>
      <c r="BWR42" s="3"/>
      <c r="BWS42" s="3"/>
      <c r="BWT42" s="3"/>
      <c r="BWU42" s="3"/>
      <c r="BWV42" s="3"/>
      <c r="BWW42" s="3"/>
      <c r="BWX42" s="3"/>
      <c r="BWY42" s="3"/>
      <c r="BWZ42" s="3"/>
      <c r="BXA42" s="3"/>
      <c r="BXB42" s="3"/>
      <c r="BXC42" s="3"/>
      <c r="BXD42" s="3"/>
      <c r="BXE42" s="3"/>
      <c r="BXF42" s="3"/>
      <c r="BXG42" s="3"/>
      <c r="BXH42" s="3"/>
      <c r="BXI42" s="3"/>
      <c r="BXJ42" s="3"/>
      <c r="BXK42" s="3"/>
      <c r="BXL42" s="3"/>
      <c r="BXM42" s="3"/>
      <c r="BXN42" s="3"/>
      <c r="BXO42" s="3"/>
      <c r="BXP42" s="3"/>
      <c r="BXQ42" s="3"/>
      <c r="BXR42" s="3"/>
      <c r="BXS42" s="3"/>
      <c r="BXT42" s="3"/>
      <c r="BXU42" s="3"/>
      <c r="BXV42" s="3"/>
      <c r="BXW42" s="3"/>
      <c r="BXX42" s="3"/>
      <c r="BXY42" s="3"/>
      <c r="BXZ42" s="3"/>
      <c r="BYA42" s="3"/>
      <c r="BYB42" s="3"/>
      <c r="BYC42" s="3"/>
      <c r="BYD42" s="3"/>
      <c r="BYE42" s="3"/>
      <c r="BYF42" s="3"/>
      <c r="BYG42" s="3"/>
    </row>
    <row r="43" spans="1:2009" s="85" customFormat="1" ht="24.95" customHeight="1" x14ac:dyDescent="0.25">
      <c r="A43" s="112"/>
      <c r="B43" s="95" t="s">
        <v>44</v>
      </c>
      <c r="C43" s="155">
        <v>13905.32</v>
      </c>
      <c r="D43" s="155">
        <v>13066.91</v>
      </c>
      <c r="E43" s="156"/>
      <c r="F43" s="156"/>
      <c r="G43" s="524">
        <f>ROUND(SUM(C43:F43),5)</f>
        <v>26972.23</v>
      </c>
      <c r="H43" s="3"/>
      <c r="I43" s="26"/>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c r="AJY43" s="3"/>
      <c r="AJZ43" s="3"/>
      <c r="AKA43" s="3"/>
      <c r="AKB43" s="3"/>
      <c r="AKC43" s="3"/>
      <c r="AKD43" s="3"/>
      <c r="AKE43" s="3"/>
      <c r="AKF43" s="3"/>
      <c r="AKG43" s="3"/>
      <c r="AKH43" s="3"/>
      <c r="AKI43" s="3"/>
      <c r="AKJ43" s="3"/>
      <c r="AKK43" s="3"/>
      <c r="AKL43" s="3"/>
      <c r="AKM43" s="3"/>
      <c r="AKN43" s="3"/>
      <c r="AKO43" s="3"/>
      <c r="AKP43" s="3"/>
      <c r="AKQ43" s="3"/>
      <c r="AKR43" s="3"/>
      <c r="AKS43" s="3"/>
      <c r="AKT43" s="3"/>
      <c r="AKU43" s="3"/>
      <c r="AKV43" s="3"/>
      <c r="AKW43" s="3"/>
      <c r="AKX43" s="3"/>
      <c r="AKY43" s="3"/>
      <c r="AKZ43" s="3"/>
      <c r="ALA43" s="3"/>
      <c r="ALB43" s="3"/>
      <c r="ALC43" s="3"/>
      <c r="ALD43" s="3"/>
      <c r="ALE43" s="3"/>
      <c r="ALF43" s="3"/>
      <c r="ALG43" s="3"/>
      <c r="ALH43" s="3"/>
      <c r="ALI43" s="3"/>
      <c r="ALJ43" s="3"/>
      <c r="ALK43" s="3"/>
      <c r="ALL43" s="3"/>
      <c r="ALM43" s="3"/>
      <c r="ALN43" s="3"/>
      <c r="ALO43" s="3"/>
      <c r="ALP43" s="3"/>
      <c r="ALQ43" s="3"/>
      <c r="ALR43" s="3"/>
      <c r="ALS43" s="3"/>
      <c r="ALT43" s="3"/>
      <c r="ALU43" s="3"/>
      <c r="ALV43" s="3"/>
      <c r="ALW43" s="3"/>
      <c r="ALX43" s="3"/>
      <c r="ALY43" s="3"/>
      <c r="ALZ43" s="3"/>
      <c r="AMA43" s="3"/>
      <c r="AMB43" s="3"/>
      <c r="AMC43" s="3"/>
      <c r="AMD43" s="3"/>
      <c r="AME43" s="3"/>
      <c r="AMF43" s="3"/>
      <c r="AMG43" s="3"/>
      <c r="AMH43" s="3"/>
      <c r="AMI43" s="3"/>
      <c r="AMJ43" s="3"/>
      <c r="AMK43" s="3"/>
      <c r="AML43" s="3"/>
      <c r="AMM43" s="3"/>
      <c r="AMN43" s="3"/>
      <c r="AMO43" s="3"/>
      <c r="AMP43" s="3"/>
      <c r="AMQ43" s="3"/>
      <c r="AMR43" s="3"/>
      <c r="AMS43" s="3"/>
      <c r="AMT43" s="3"/>
      <c r="AMU43" s="3"/>
      <c r="AMV43" s="3"/>
      <c r="AMW43" s="3"/>
      <c r="AMX43" s="3"/>
      <c r="AMY43" s="3"/>
      <c r="AMZ43" s="3"/>
      <c r="ANA43" s="3"/>
      <c r="ANB43" s="3"/>
      <c r="ANC43" s="3"/>
      <c r="AND43" s="3"/>
      <c r="ANE43" s="3"/>
      <c r="ANF43" s="3"/>
      <c r="ANG43" s="3"/>
      <c r="ANH43" s="3"/>
      <c r="ANI43" s="3"/>
      <c r="ANJ43" s="3"/>
      <c r="ANK43" s="3"/>
      <c r="ANL43" s="3"/>
      <c r="ANM43" s="3"/>
      <c r="ANN43" s="3"/>
      <c r="ANO43" s="3"/>
      <c r="ANP43" s="3"/>
      <c r="ANQ43" s="3"/>
      <c r="ANR43" s="3"/>
      <c r="ANS43" s="3"/>
      <c r="ANT43" s="3"/>
      <c r="ANU43" s="3"/>
      <c r="ANV43" s="3"/>
      <c r="ANW43" s="3"/>
      <c r="ANX43" s="3"/>
      <c r="ANY43" s="3"/>
      <c r="ANZ43" s="3"/>
      <c r="AOA43" s="3"/>
      <c r="AOB43" s="3"/>
      <c r="AOC43" s="3"/>
      <c r="AOD43" s="3"/>
      <c r="AOE43" s="3"/>
      <c r="AOF43" s="3"/>
      <c r="AOG43" s="3"/>
      <c r="AOH43" s="3"/>
      <c r="AOI43" s="3"/>
      <c r="AOJ43" s="3"/>
      <c r="AOK43" s="3"/>
      <c r="AOL43" s="3"/>
      <c r="AOM43" s="3"/>
      <c r="AON43" s="3"/>
      <c r="AOO43" s="3"/>
      <c r="AOP43" s="3"/>
      <c r="AOQ43" s="3"/>
      <c r="AOR43" s="3"/>
      <c r="AOS43" s="3"/>
      <c r="AOT43" s="3"/>
      <c r="AOU43" s="3"/>
      <c r="AOV43" s="3"/>
      <c r="AOW43" s="3"/>
      <c r="AOX43" s="3"/>
      <c r="AOY43" s="3"/>
      <c r="AOZ43" s="3"/>
      <c r="APA43" s="3"/>
      <c r="APB43" s="3"/>
      <c r="APC43" s="3"/>
      <c r="APD43" s="3"/>
      <c r="APE43" s="3"/>
      <c r="APF43" s="3"/>
      <c r="APG43" s="3"/>
      <c r="APH43" s="3"/>
      <c r="API43" s="3"/>
      <c r="APJ43" s="3"/>
      <c r="APK43" s="3"/>
      <c r="APL43" s="3"/>
      <c r="APM43" s="3"/>
      <c r="APN43" s="3"/>
      <c r="APO43" s="3"/>
      <c r="APP43" s="3"/>
      <c r="APQ43" s="3"/>
      <c r="APR43" s="3"/>
      <c r="APS43" s="3"/>
      <c r="APT43" s="3"/>
      <c r="APU43" s="3"/>
      <c r="APV43" s="3"/>
      <c r="APW43" s="3"/>
      <c r="APX43" s="3"/>
      <c r="APY43" s="3"/>
      <c r="APZ43" s="3"/>
      <c r="AQA43" s="3"/>
      <c r="AQB43" s="3"/>
      <c r="AQC43" s="3"/>
      <c r="AQD43" s="3"/>
      <c r="AQE43" s="3"/>
      <c r="AQF43" s="3"/>
      <c r="AQG43" s="3"/>
      <c r="AQH43" s="3"/>
      <c r="AQI43" s="3"/>
      <c r="AQJ43" s="3"/>
      <c r="AQK43" s="3"/>
      <c r="AQL43" s="3"/>
      <c r="AQM43" s="3"/>
      <c r="AQN43" s="3"/>
      <c r="AQO43" s="3"/>
      <c r="AQP43" s="3"/>
      <c r="AQQ43" s="3"/>
      <c r="AQR43" s="3"/>
      <c r="AQS43" s="3"/>
      <c r="AQT43" s="3"/>
      <c r="AQU43" s="3"/>
      <c r="AQV43" s="3"/>
      <c r="AQW43" s="3"/>
      <c r="AQX43" s="3"/>
      <c r="AQY43" s="3"/>
      <c r="AQZ43" s="3"/>
      <c r="ARA43" s="3"/>
      <c r="ARB43" s="3"/>
      <c r="ARC43" s="3"/>
      <c r="ARD43" s="3"/>
      <c r="ARE43" s="3"/>
      <c r="ARF43" s="3"/>
      <c r="ARG43" s="3"/>
      <c r="ARH43" s="3"/>
      <c r="ARI43" s="3"/>
      <c r="ARJ43" s="3"/>
      <c r="ARK43" s="3"/>
      <c r="ARL43" s="3"/>
      <c r="ARM43" s="3"/>
      <c r="ARN43" s="3"/>
      <c r="ARO43" s="3"/>
      <c r="ARP43" s="3"/>
      <c r="ARQ43" s="3"/>
      <c r="ARR43" s="3"/>
      <c r="ARS43" s="3"/>
      <c r="ART43" s="3"/>
      <c r="ARU43" s="3"/>
      <c r="ARV43" s="3"/>
      <c r="ARW43" s="3"/>
      <c r="ARX43" s="3"/>
      <c r="ARY43" s="3"/>
      <c r="ARZ43" s="3"/>
      <c r="ASA43" s="3"/>
      <c r="ASB43" s="3"/>
      <c r="ASC43" s="3"/>
      <c r="ASD43" s="3"/>
      <c r="ASE43" s="3"/>
      <c r="ASF43" s="3"/>
      <c r="ASG43" s="3"/>
      <c r="ASH43" s="3"/>
      <c r="ASI43" s="3"/>
      <c r="ASJ43" s="3"/>
      <c r="ASK43" s="3"/>
      <c r="ASL43" s="3"/>
      <c r="ASM43" s="3"/>
      <c r="ASN43" s="3"/>
      <c r="ASO43" s="3"/>
      <c r="ASP43" s="3"/>
      <c r="ASQ43" s="3"/>
      <c r="ASR43" s="3"/>
      <c r="ASS43" s="3"/>
      <c r="AST43" s="3"/>
      <c r="ASU43" s="3"/>
      <c r="ASV43" s="3"/>
      <c r="ASW43" s="3"/>
      <c r="ASX43" s="3"/>
      <c r="ASY43" s="3"/>
      <c r="ASZ43" s="3"/>
      <c r="ATA43" s="3"/>
      <c r="ATB43" s="3"/>
      <c r="ATC43" s="3"/>
      <c r="ATD43" s="3"/>
      <c r="ATE43" s="3"/>
      <c r="ATF43" s="3"/>
      <c r="ATG43" s="3"/>
      <c r="ATH43" s="3"/>
      <c r="ATI43" s="3"/>
      <c r="ATJ43" s="3"/>
      <c r="ATK43" s="3"/>
      <c r="ATL43" s="3"/>
      <c r="ATM43" s="3"/>
      <c r="ATN43" s="3"/>
      <c r="ATO43" s="3"/>
      <c r="ATP43" s="3"/>
      <c r="ATQ43" s="3"/>
      <c r="ATR43" s="3"/>
      <c r="ATS43" s="3"/>
      <c r="ATT43" s="3"/>
      <c r="ATU43" s="3"/>
      <c r="ATV43" s="3"/>
      <c r="ATW43" s="3"/>
      <c r="ATX43" s="3"/>
      <c r="ATY43" s="3"/>
      <c r="ATZ43" s="3"/>
      <c r="AUA43" s="3"/>
      <c r="AUB43" s="3"/>
      <c r="AUC43" s="3"/>
      <c r="AUD43" s="3"/>
      <c r="AUE43" s="3"/>
      <c r="AUF43" s="3"/>
      <c r="AUG43" s="3"/>
      <c r="AUH43" s="3"/>
      <c r="AUI43" s="3"/>
      <c r="AUJ43" s="3"/>
      <c r="AUK43" s="3"/>
      <c r="AUL43" s="3"/>
      <c r="AUM43" s="3"/>
      <c r="AUN43" s="3"/>
      <c r="AUO43" s="3"/>
      <c r="AUP43" s="3"/>
      <c r="AUQ43" s="3"/>
      <c r="AUR43" s="3"/>
      <c r="AUS43" s="3"/>
      <c r="AUT43" s="3"/>
      <c r="AUU43" s="3"/>
      <c r="AUV43" s="3"/>
      <c r="AUW43" s="3"/>
      <c r="AUX43" s="3"/>
      <c r="AUY43" s="3"/>
      <c r="AUZ43" s="3"/>
      <c r="AVA43" s="3"/>
      <c r="AVB43" s="3"/>
      <c r="AVC43" s="3"/>
      <c r="AVD43" s="3"/>
      <c r="AVE43" s="3"/>
      <c r="AVF43" s="3"/>
      <c r="AVG43" s="3"/>
      <c r="AVH43" s="3"/>
      <c r="AVI43" s="3"/>
      <c r="AVJ43" s="3"/>
      <c r="AVK43" s="3"/>
      <c r="AVL43" s="3"/>
      <c r="AVM43" s="3"/>
      <c r="AVN43" s="3"/>
      <c r="AVO43" s="3"/>
      <c r="AVP43" s="3"/>
      <c r="AVQ43" s="3"/>
      <c r="AVR43" s="3"/>
      <c r="AVS43" s="3"/>
      <c r="AVT43" s="3"/>
      <c r="AVU43" s="3"/>
      <c r="AVV43" s="3"/>
      <c r="AVW43" s="3"/>
      <c r="AVX43" s="3"/>
      <c r="AVY43" s="3"/>
      <c r="AVZ43" s="3"/>
      <c r="AWA43" s="3"/>
      <c r="AWB43" s="3"/>
      <c r="AWC43" s="3"/>
      <c r="AWD43" s="3"/>
      <c r="AWE43" s="3"/>
      <c r="AWF43" s="3"/>
      <c r="AWG43" s="3"/>
      <c r="AWH43" s="3"/>
      <c r="AWI43" s="3"/>
      <c r="AWJ43" s="3"/>
      <c r="AWK43" s="3"/>
      <c r="AWL43" s="3"/>
      <c r="AWM43" s="3"/>
      <c r="AWN43" s="3"/>
      <c r="AWO43" s="3"/>
      <c r="AWP43" s="3"/>
      <c r="AWQ43" s="3"/>
      <c r="AWR43" s="3"/>
      <c r="AWS43" s="3"/>
      <c r="AWT43" s="3"/>
      <c r="AWU43" s="3"/>
      <c r="AWV43" s="3"/>
      <c r="AWW43" s="3"/>
      <c r="AWX43" s="3"/>
      <c r="AWY43" s="3"/>
      <c r="AWZ43" s="3"/>
      <c r="AXA43" s="3"/>
      <c r="AXB43" s="3"/>
      <c r="AXC43" s="3"/>
      <c r="AXD43" s="3"/>
      <c r="AXE43" s="3"/>
      <c r="AXF43" s="3"/>
      <c r="AXG43" s="3"/>
      <c r="AXH43" s="3"/>
      <c r="AXI43" s="3"/>
      <c r="AXJ43" s="3"/>
      <c r="AXK43" s="3"/>
      <c r="AXL43" s="3"/>
      <c r="AXM43" s="3"/>
      <c r="AXN43" s="3"/>
      <c r="AXO43" s="3"/>
      <c r="AXP43" s="3"/>
      <c r="AXQ43" s="3"/>
      <c r="AXR43" s="3"/>
      <c r="AXS43" s="3"/>
      <c r="AXT43" s="3"/>
      <c r="AXU43" s="3"/>
      <c r="AXV43" s="3"/>
      <c r="AXW43" s="3"/>
      <c r="AXX43" s="3"/>
      <c r="AXY43" s="3"/>
      <c r="AXZ43" s="3"/>
      <c r="AYA43" s="3"/>
      <c r="AYB43" s="3"/>
      <c r="AYC43" s="3"/>
      <c r="AYD43" s="3"/>
      <c r="AYE43" s="3"/>
      <c r="AYF43" s="3"/>
      <c r="AYG43" s="3"/>
      <c r="AYH43" s="3"/>
      <c r="AYI43" s="3"/>
      <c r="AYJ43" s="3"/>
      <c r="AYK43" s="3"/>
      <c r="AYL43" s="3"/>
      <c r="AYM43" s="3"/>
      <c r="AYN43" s="3"/>
      <c r="AYO43" s="3"/>
      <c r="AYP43" s="3"/>
      <c r="AYQ43" s="3"/>
      <c r="AYR43" s="3"/>
      <c r="AYS43" s="3"/>
      <c r="AYT43" s="3"/>
      <c r="AYU43" s="3"/>
      <c r="AYV43" s="3"/>
      <c r="AYW43" s="3"/>
      <c r="AYX43" s="3"/>
      <c r="AYY43" s="3"/>
      <c r="AYZ43" s="3"/>
      <c r="AZA43" s="3"/>
      <c r="AZB43" s="3"/>
      <c r="AZC43" s="3"/>
      <c r="AZD43" s="3"/>
      <c r="AZE43" s="3"/>
      <c r="AZF43" s="3"/>
      <c r="AZG43" s="3"/>
      <c r="AZH43" s="3"/>
      <c r="AZI43" s="3"/>
      <c r="AZJ43" s="3"/>
      <c r="AZK43" s="3"/>
      <c r="AZL43" s="3"/>
      <c r="AZM43" s="3"/>
      <c r="AZN43" s="3"/>
      <c r="AZO43" s="3"/>
      <c r="AZP43" s="3"/>
      <c r="AZQ43" s="3"/>
      <c r="AZR43" s="3"/>
      <c r="AZS43" s="3"/>
      <c r="AZT43" s="3"/>
      <c r="AZU43" s="3"/>
      <c r="AZV43" s="3"/>
      <c r="AZW43" s="3"/>
      <c r="AZX43" s="3"/>
      <c r="AZY43" s="3"/>
      <c r="AZZ43" s="3"/>
      <c r="BAA43" s="3"/>
      <c r="BAB43" s="3"/>
      <c r="BAC43" s="3"/>
      <c r="BAD43" s="3"/>
      <c r="BAE43" s="3"/>
      <c r="BAF43" s="3"/>
      <c r="BAG43" s="3"/>
      <c r="BAH43" s="3"/>
      <c r="BAI43" s="3"/>
      <c r="BAJ43" s="3"/>
      <c r="BAK43" s="3"/>
      <c r="BAL43" s="3"/>
      <c r="BAM43" s="3"/>
      <c r="BAN43" s="3"/>
      <c r="BAO43" s="3"/>
      <c r="BAP43" s="3"/>
      <c r="BAQ43" s="3"/>
      <c r="BAR43" s="3"/>
      <c r="BAS43" s="3"/>
      <c r="BAT43" s="3"/>
      <c r="BAU43" s="3"/>
      <c r="BAV43" s="3"/>
      <c r="BAW43" s="3"/>
      <c r="BAX43" s="3"/>
      <c r="BAY43" s="3"/>
      <c r="BAZ43" s="3"/>
      <c r="BBA43" s="3"/>
      <c r="BBB43" s="3"/>
      <c r="BBC43" s="3"/>
      <c r="BBD43" s="3"/>
      <c r="BBE43" s="3"/>
      <c r="BBF43" s="3"/>
      <c r="BBG43" s="3"/>
      <c r="BBH43" s="3"/>
      <c r="BBI43" s="3"/>
      <c r="BBJ43" s="3"/>
      <c r="BBK43" s="3"/>
      <c r="BBL43" s="3"/>
      <c r="BBM43" s="3"/>
      <c r="BBN43" s="3"/>
      <c r="BBO43" s="3"/>
      <c r="BBP43" s="3"/>
      <c r="BBQ43" s="3"/>
      <c r="BBR43" s="3"/>
      <c r="BBS43" s="3"/>
      <c r="BBT43" s="3"/>
      <c r="BBU43" s="3"/>
      <c r="BBV43" s="3"/>
      <c r="BBW43" s="3"/>
      <c r="BBX43" s="3"/>
      <c r="BBY43" s="3"/>
      <c r="BBZ43" s="3"/>
      <c r="BCA43" s="3"/>
      <c r="BCB43" s="3"/>
      <c r="BCC43" s="3"/>
      <c r="BCD43" s="3"/>
      <c r="BCE43" s="3"/>
      <c r="BCF43" s="3"/>
      <c r="BCG43" s="3"/>
      <c r="BCH43" s="3"/>
      <c r="BCI43" s="3"/>
      <c r="BCJ43" s="3"/>
      <c r="BCK43" s="3"/>
      <c r="BCL43" s="3"/>
      <c r="BCM43" s="3"/>
      <c r="BCN43" s="3"/>
      <c r="BCO43" s="3"/>
      <c r="BCP43" s="3"/>
      <c r="BCQ43" s="3"/>
      <c r="BCR43" s="3"/>
      <c r="BCS43" s="3"/>
      <c r="BCT43" s="3"/>
      <c r="BCU43" s="3"/>
      <c r="BCV43" s="3"/>
      <c r="BCW43" s="3"/>
      <c r="BCX43" s="3"/>
      <c r="BCY43" s="3"/>
      <c r="BCZ43" s="3"/>
      <c r="BDA43" s="3"/>
      <c r="BDB43" s="3"/>
      <c r="BDC43" s="3"/>
      <c r="BDD43" s="3"/>
      <c r="BDE43" s="3"/>
      <c r="BDF43" s="3"/>
      <c r="BDG43" s="3"/>
      <c r="BDH43" s="3"/>
      <c r="BDI43" s="3"/>
      <c r="BDJ43" s="3"/>
      <c r="BDK43" s="3"/>
      <c r="BDL43" s="3"/>
      <c r="BDM43" s="3"/>
      <c r="BDN43" s="3"/>
      <c r="BDO43" s="3"/>
      <c r="BDP43" s="3"/>
      <c r="BDQ43" s="3"/>
      <c r="BDR43" s="3"/>
      <c r="BDS43" s="3"/>
      <c r="BDT43" s="3"/>
      <c r="BDU43" s="3"/>
      <c r="BDV43" s="3"/>
      <c r="BDW43" s="3"/>
      <c r="BDX43" s="3"/>
      <c r="BDY43" s="3"/>
      <c r="BDZ43" s="3"/>
      <c r="BEA43" s="3"/>
      <c r="BEB43" s="3"/>
      <c r="BEC43" s="3"/>
      <c r="BED43" s="3"/>
      <c r="BEE43" s="3"/>
      <c r="BEF43" s="3"/>
      <c r="BEG43" s="3"/>
      <c r="BEH43" s="3"/>
      <c r="BEI43" s="3"/>
      <c r="BEJ43" s="3"/>
      <c r="BEK43" s="3"/>
      <c r="BEL43" s="3"/>
      <c r="BEM43" s="3"/>
      <c r="BEN43" s="3"/>
      <c r="BEO43" s="3"/>
      <c r="BEP43" s="3"/>
      <c r="BEQ43" s="3"/>
      <c r="BER43" s="3"/>
      <c r="BES43" s="3"/>
      <c r="BET43" s="3"/>
      <c r="BEU43" s="3"/>
      <c r="BEV43" s="3"/>
      <c r="BEW43" s="3"/>
      <c r="BEX43" s="3"/>
      <c r="BEY43" s="3"/>
      <c r="BEZ43" s="3"/>
      <c r="BFA43" s="3"/>
      <c r="BFB43" s="3"/>
      <c r="BFC43" s="3"/>
      <c r="BFD43" s="3"/>
      <c r="BFE43" s="3"/>
      <c r="BFF43" s="3"/>
      <c r="BFG43" s="3"/>
      <c r="BFH43" s="3"/>
      <c r="BFI43" s="3"/>
      <c r="BFJ43" s="3"/>
      <c r="BFK43" s="3"/>
      <c r="BFL43" s="3"/>
      <c r="BFM43" s="3"/>
      <c r="BFN43" s="3"/>
      <c r="BFO43" s="3"/>
      <c r="BFP43" s="3"/>
      <c r="BFQ43" s="3"/>
      <c r="BFR43" s="3"/>
      <c r="BFS43" s="3"/>
      <c r="BFT43" s="3"/>
      <c r="BFU43" s="3"/>
      <c r="BFV43" s="3"/>
      <c r="BFW43" s="3"/>
      <c r="BFX43" s="3"/>
      <c r="BFY43" s="3"/>
      <c r="BFZ43" s="3"/>
      <c r="BGA43" s="3"/>
      <c r="BGB43" s="3"/>
      <c r="BGC43" s="3"/>
      <c r="BGD43" s="3"/>
      <c r="BGE43" s="3"/>
      <c r="BGF43" s="3"/>
      <c r="BGG43" s="3"/>
      <c r="BGH43" s="3"/>
      <c r="BGI43" s="3"/>
      <c r="BGJ43" s="3"/>
      <c r="BGK43" s="3"/>
      <c r="BGL43" s="3"/>
      <c r="BGM43" s="3"/>
      <c r="BGN43" s="3"/>
      <c r="BGO43" s="3"/>
      <c r="BGP43" s="3"/>
      <c r="BGQ43" s="3"/>
      <c r="BGR43" s="3"/>
      <c r="BGS43" s="3"/>
      <c r="BGT43" s="3"/>
      <c r="BGU43" s="3"/>
      <c r="BGV43" s="3"/>
      <c r="BGW43" s="3"/>
      <c r="BGX43" s="3"/>
      <c r="BGY43" s="3"/>
      <c r="BGZ43" s="3"/>
      <c r="BHA43" s="3"/>
      <c r="BHB43" s="3"/>
      <c r="BHC43" s="3"/>
      <c r="BHD43" s="3"/>
      <c r="BHE43" s="3"/>
      <c r="BHF43" s="3"/>
      <c r="BHG43" s="3"/>
      <c r="BHH43" s="3"/>
      <c r="BHI43" s="3"/>
      <c r="BHJ43" s="3"/>
      <c r="BHK43" s="3"/>
      <c r="BHL43" s="3"/>
      <c r="BHM43" s="3"/>
      <c r="BHN43" s="3"/>
      <c r="BHO43" s="3"/>
      <c r="BHP43" s="3"/>
      <c r="BHQ43" s="3"/>
      <c r="BHR43" s="3"/>
      <c r="BHS43" s="3"/>
      <c r="BHT43" s="3"/>
      <c r="BHU43" s="3"/>
      <c r="BHV43" s="3"/>
      <c r="BHW43" s="3"/>
      <c r="BHX43" s="3"/>
      <c r="BHY43" s="3"/>
      <c r="BHZ43" s="3"/>
      <c r="BIA43" s="3"/>
      <c r="BIB43" s="3"/>
      <c r="BIC43" s="3"/>
      <c r="BID43" s="3"/>
      <c r="BIE43" s="3"/>
      <c r="BIF43" s="3"/>
      <c r="BIG43" s="3"/>
      <c r="BIH43" s="3"/>
      <c r="BII43" s="3"/>
      <c r="BIJ43" s="3"/>
      <c r="BIK43" s="3"/>
      <c r="BIL43" s="3"/>
      <c r="BIM43" s="3"/>
      <c r="BIN43" s="3"/>
      <c r="BIO43" s="3"/>
      <c r="BIP43" s="3"/>
      <c r="BIQ43" s="3"/>
      <c r="BIR43" s="3"/>
      <c r="BIS43" s="3"/>
      <c r="BIT43" s="3"/>
      <c r="BIU43" s="3"/>
      <c r="BIV43" s="3"/>
      <c r="BIW43" s="3"/>
      <c r="BIX43" s="3"/>
      <c r="BIY43" s="3"/>
      <c r="BIZ43" s="3"/>
      <c r="BJA43" s="3"/>
      <c r="BJB43" s="3"/>
      <c r="BJC43" s="3"/>
      <c r="BJD43" s="3"/>
      <c r="BJE43" s="3"/>
      <c r="BJF43" s="3"/>
      <c r="BJG43" s="3"/>
      <c r="BJH43" s="3"/>
      <c r="BJI43" s="3"/>
      <c r="BJJ43" s="3"/>
      <c r="BJK43" s="3"/>
      <c r="BJL43" s="3"/>
      <c r="BJM43" s="3"/>
      <c r="BJN43" s="3"/>
      <c r="BJO43" s="3"/>
      <c r="BJP43" s="3"/>
      <c r="BJQ43" s="3"/>
      <c r="BJR43" s="3"/>
      <c r="BJS43" s="3"/>
      <c r="BJT43" s="3"/>
      <c r="BJU43" s="3"/>
      <c r="BJV43" s="3"/>
      <c r="BJW43" s="3"/>
      <c r="BJX43" s="3"/>
      <c r="BJY43" s="3"/>
      <c r="BJZ43" s="3"/>
      <c r="BKA43" s="3"/>
      <c r="BKB43" s="3"/>
      <c r="BKC43" s="3"/>
      <c r="BKD43" s="3"/>
      <c r="BKE43" s="3"/>
      <c r="BKF43" s="3"/>
      <c r="BKG43" s="3"/>
      <c r="BKH43" s="3"/>
      <c r="BKI43" s="3"/>
      <c r="BKJ43" s="3"/>
      <c r="BKK43" s="3"/>
      <c r="BKL43" s="3"/>
      <c r="BKM43" s="3"/>
      <c r="BKN43" s="3"/>
      <c r="BKO43" s="3"/>
      <c r="BKP43" s="3"/>
      <c r="BKQ43" s="3"/>
      <c r="BKR43" s="3"/>
      <c r="BKS43" s="3"/>
      <c r="BKT43" s="3"/>
      <c r="BKU43" s="3"/>
      <c r="BKV43" s="3"/>
      <c r="BKW43" s="3"/>
      <c r="BKX43" s="3"/>
      <c r="BKY43" s="3"/>
      <c r="BKZ43" s="3"/>
      <c r="BLA43" s="3"/>
      <c r="BLB43" s="3"/>
      <c r="BLC43" s="3"/>
      <c r="BLD43" s="3"/>
      <c r="BLE43" s="3"/>
      <c r="BLF43" s="3"/>
      <c r="BLG43" s="3"/>
      <c r="BLH43" s="3"/>
      <c r="BLI43" s="3"/>
      <c r="BLJ43" s="3"/>
      <c r="BLK43" s="3"/>
      <c r="BLL43" s="3"/>
      <c r="BLM43" s="3"/>
      <c r="BLN43" s="3"/>
      <c r="BLO43" s="3"/>
      <c r="BLP43" s="3"/>
      <c r="BLQ43" s="3"/>
      <c r="BLR43" s="3"/>
      <c r="BLS43" s="3"/>
      <c r="BLT43" s="3"/>
      <c r="BLU43" s="3"/>
      <c r="BLV43" s="3"/>
      <c r="BLW43" s="3"/>
      <c r="BLX43" s="3"/>
      <c r="BLY43" s="3"/>
      <c r="BLZ43" s="3"/>
      <c r="BMA43" s="3"/>
      <c r="BMB43" s="3"/>
      <c r="BMC43" s="3"/>
      <c r="BMD43" s="3"/>
      <c r="BME43" s="3"/>
      <c r="BMF43" s="3"/>
      <c r="BMG43" s="3"/>
      <c r="BMH43" s="3"/>
      <c r="BMI43" s="3"/>
      <c r="BMJ43" s="3"/>
      <c r="BMK43" s="3"/>
      <c r="BML43" s="3"/>
      <c r="BMM43" s="3"/>
      <c r="BMN43" s="3"/>
      <c r="BMO43" s="3"/>
      <c r="BMP43" s="3"/>
      <c r="BMQ43" s="3"/>
      <c r="BMR43" s="3"/>
      <c r="BMS43" s="3"/>
      <c r="BMT43" s="3"/>
      <c r="BMU43" s="3"/>
      <c r="BMV43" s="3"/>
      <c r="BMW43" s="3"/>
      <c r="BMX43" s="3"/>
      <c r="BMY43" s="3"/>
      <c r="BMZ43" s="3"/>
      <c r="BNA43" s="3"/>
      <c r="BNB43" s="3"/>
      <c r="BNC43" s="3"/>
      <c r="BND43" s="3"/>
      <c r="BNE43" s="3"/>
      <c r="BNF43" s="3"/>
      <c r="BNG43" s="3"/>
      <c r="BNH43" s="3"/>
      <c r="BNI43" s="3"/>
      <c r="BNJ43" s="3"/>
      <c r="BNK43" s="3"/>
      <c r="BNL43" s="3"/>
      <c r="BNM43" s="3"/>
      <c r="BNN43" s="3"/>
      <c r="BNO43" s="3"/>
      <c r="BNP43" s="3"/>
      <c r="BNQ43" s="3"/>
      <c r="BNR43" s="3"/>
      <c r="BNS43" s="3"/>
      <c r="BNT43" s="3"/>
      <c r="BNU43" s="3"/>
      <c r="BNV43" s="3"/>
      <c r="BNW43" s="3"/>
      <c r="BNX43" s="3"/>
      <c r="BNY43" s="3"/>
      <c r="BNZ43" s="3"/>
      <c r="BOA43" s="3"/>
      <c r="BOB43" s="3"/>
      <c r="BOC43" s="3"/>
      <c r="BOD43" s="3"/>
      <c r="BOE43" s="3"/>
      <c r="BOF43" s="3"/>
      <c r="BOG43" s="3"/>
      <c r="BOH43" s="3"/>
      <c r="BOI43" s="3"/>
      <c r="BOJ43" s="3"/>
      <c r="BOK43" s="3"/>
      <c r="BOL43" s="3"/>
      <c r="BOM43" s="3"/>
      <c r="BON43" s="3"/>
      <c r="BOO43" s="3"/>
      <c r="BOP43" s="3"/>
      <c r="BOQ43" s="3"/>
      <c r="BOR43" s="3"/>
      <c r="BOS43" s="3"/>
      <c r="BOT43" s="3"/>
      <c r="BOU43" s="3"/>
      <c r="BOV43" s="3"/>
      <c r="BOW43" s="3"/>
      <c r="BOX43" s="3"/>
      <c r="BOY43" s="3"/>
      <c r="BOZ43" s="3"/>
      <c r="BPA43" s="3"/>
      <c r="BPB43" s="3"/>
      <c r="BPC43" s="3"/>
      <c r="BPD43" s="3"/>
      <c r="BPE43" s="3"/>
      <c r="BPF43" s="3"/>
      <c r="BPG43" s="3"/>
      <c r="BPH43" s="3"/>
      <c r="BPI43" s="3"/>
      <c r="BPJ43" s="3"/>
      <c r="BPK43" s="3"/>
      <c r="BPL43" s="3"/>
      <c r="BPM43" s="3"/>
      <c r="BPN43" s="3"/>
      <c r="BPO43" s="3"/>
      <c r="BPP43" s="3"/>
      <c r="BPQ43" s="3"/>
      <c r="BPR43" s="3"/>
      <c r="BPS43" s="3"/>
      <c r="BPT43" s="3"/>
      <c r="BPU43" s="3"/>
      <c r="BPV43" s="3"/>
      <c r="BPW43" s="3"/>
      <c r="BPX43" s="3"/>
      <c r="BPY43" s="3"/>
      <c r="BPZ43" s="3"/>
      <c r="BQA43" s="3"/>
      <c r="BQB43" s="3"/>
      <c r="BQC43" s="3"/>
      <c r="BQD43" s="3"/>
      <c r="BQE43" s="3"/>
      <c r="BQF43" s="3"/>
      <c r="BQG43" s="3"/>
      <c r="BQH43" s="3"/>
      <c r="BQI43" s="3"/>
      <c r="BQJ43" s="3"/>
      <c r="BQK43" s="3"/>
      <c r="BQL43" s="3"/>
      <c r="BQM43" s="3"/>
      <c r="BQN43" s="3"/>
      <c r="BQO43" s="3"/>
      <c r="BQP43" s="3"/>
      <c r="BQQ43" s="3"/>
      <c r="BQR43" s="3"/>
      <c r="BQS43" s="3"/>
      <c r="BQT43" s="3"/>
      <c r="BQU43" s="3"/>
      <c r="BQV43" s="3"/>
      <c r="BQW43" s="3"/>
      <c r="BQX43" s="3"/>
      <c r="BQY43" s="3"/>
      <c r="BQZ43" s="3"/>
      <c r="BRA43" s="3"/>
      <c r="BRB43" s="3"/>
      <c r="BRC43" s="3"/>
      <c r="BRD43" s="3"/>
      <c r="BRE43" s="3"/>
      <c r="BRF43" s="3"/>
      <c r="BRG43" s="3"/>
      <c r="BRH43" s="3"/>
      <c r="BRI43" s="3"/>
      <c r="BRJ43" s="3"/>
      <c r="BRK43" s="3"/>
      <c r="BRL43" s="3"/>
      <c r="BRM43" s="3"/>
      <c r="BRN43" s="3"/>
      <c r="BRO43" s="3"/>
      <c r="BRP43" s="3"/>
      <c r="BRQ43" s="3"/>
      <c r="BRR43" s="3"/>
      <c r="BRS43" s="3"/>
      <c r="BRT43" s="3"/>
      <c r="BRU43" s="3"/>
      <c r="BRV43" s="3"/>
      <c r="BRW43" s="3"/>
      <c r="BRX43" s="3"/>
      <c r="BRY43" s="3"/>
      <c r="BRZ43" s="3"/>
      <c r="BSA43" s="3"/>
      <c r="BSB43" s="3"/>
      <c r="BSC43" s="3"/>
      <c r="BSD43" s="3"/>
      <c r="BSE43" s="3"/>
      <c r="BSF43" s="3"/>
      <c r="BSG43" s="3"/>
      <c r="BSH43" s="3"/>
      <c r="BSI43" s="3"/>
      <c r="BSJ43" s="3"/>
      <c r="BSK43" s="3"/>
      <c r="BSL43" s="3"/>
      <c r="BSM43" s="3"/>
      <c r="BSN43" s="3"/>
      <c r="BSO43" s="3"/>
      <c r="BSP43" s="3"/>
      <c r="BSQ43" s="3"/>
      <c r="BSR43" s="3"/>
      <c r="BSS43" s="3"/>
      <c r="BST43" s="3"/>
      <c r="BSU43" s="3"/>
      <c r="BSV43" s="3"/>
      <c r="BSW43" s="3"/>
      <c r="BSX43" s="3"/>
      <c r="BSY43" s="3"/>
      <c r="BSZ43" s="3"/>
      <c r="BTA43" s="3"/>
      <c r="BTB43" s="3"/>
      <c r="BTC43" s="3"/>
      <c r="BTD43" s="3"/>
      <c r="BTE43" s="3"/>
      <c r="BTF43" s="3"/>
      <c r="BTG43" s="3"/>
      <c r="BTH43" s="3"/>
      <c r="BTI43" s="3"/>
      <c r="BTJ43" s="3"/>
      <c r="BTK43" s="3"/>
      <c r="BTL43" s="3"/>
      <c r="BTM43" s="3"/>
      <c r="BTN43" s="3"/>
      <c r="BTO43" s="3"/>
      <c r="BTP43" s="3"/>
      <c r="BTQ43" s="3"/>
      <c r="BTR43" s="3"/>
      <c r="BTS43" s="3"/>
      <c r="BTT43" s="3"/>
      <c r="BTU43" s="3"/>
      <c r="BTV43" s="3"/>
      <c r="BTW43" s="3"/>
      <c r="BTX43" s="3"/>
      <c r="BTY43" s="3"/>
      <c r="BTZ43" s="3"/>
      <c r="BUA43" s="3"/>
      <c r="BUB43" s="3"/>
      <c r="BUC43" s="3"/>
      <c r="BUD43" s="3"/>
      <c r="BUE43" s="3"/>
      <c r="BUF43" s="3"/>
      <c r="BUG43" s="3"/>
      <c r="BUH43" s="3"/>
      <c r="BUI43" s="3"/>
      <c r="BUJ43" s="3"/>
      <c r="BUK43" s="3"/>
      <c r="BUL43" s="3"/>
      <c r="BUM43" s="3"/>
      <c r="BUN43" s="3"/>
      <c r="BUO43" s="3"/>
      <c r="BUP43" s="3"/>
      <c r="BUQ43" s="3"/>
      <c r="BUR43" s="3"/>
      <c r="BUS43" s="3"/>
      <c r="BUT43" s="3"/>
      <c r="BUU43" s="3"/>
      <c r="BUV43" s="3"/>
      <c r="BUW43" s="3"/>
      <c r="BUX43" s="3"/>
      <c r="BUY43" s="3"/>
      <c r="BUZ43" s="3"/>
      <c r="BVA43" s="3"/>
      <c r="BVB43" s="3"/>
      <c r="BVC43" s="3"/>
      <c r="BVD43" s="3"/>
      <c r="BVE43" s="3"/>
      <c r="BVF43" s="3"/>
      <c r="BVG43" s="3"/>
      <c r="BVH43" s="3"/>
      <c r="BVI43" s="3"/>
      <c r="BVJ43" s="3"/>
      <c r="BVK43" s="3"/>
      <c r="BVL43" s="3"/>
      <c r="BVM43" s="3"/>
      <c r="BVN43" s="3"/>
      <c r="BVO43" s="3"/>
      <c r="BVP43" s="3"/>
      <c r="BVQ43" s="3"/>
      <c r="BVR43" s="3"/>
      <c r="BVS43" s="3"/>
      <c r="BVT43" s="3"/>
      <c r="BVU43" s="3"/>
      <c r="BVV43" s="3"/>
      <c r="BVW43" s="3"/>
      <c r="BVX43" s="3"/>
      <c r="BVY43" s="3"/>
      <c r="BVZ43" s="3"/>
      <c r="BWA43" s="3"/>
      <c r="BWB43" s="3"/>
      <c r="BWC43" s="3"/>
      <c r="BWD43" s="3"/>
      <c r="BWE43" s="3"/>
      <c r="BWF43" s="3"/>
      <c r="BWG43" s="3"/>
      <c r="BWH43" s="3"/>
      <c r="BWI43" s="3"/>
      <c r="BWJ43" s="3"/>
      <c r="BWK43" s="3"/>
      <c r="BWL43" s="3"/>
      <c r="BWM43" s="3"/>
      <c r="BWN43" s="3"/>
      <c r="BWO43" s="3"/>
      <c r="BWP43" s="3"/>
      <c r="BWQ43" s="3"/>
      <c r="BWR43" s="3"/>
      <c r="BWS43" s="3"/>
      <c r="BWT43" s="3"/>
      <c r="BWU43" s="3"/>
      <c r="BWV43" s="3"/>
      <c r="BWW43" s="3"/>
      <c r="BWX43" s="3"/>
      <c r="BWY43" s="3"/>
      <c r="BWZ43" s="3"/>
      <c r="BXA43" s="3"/>
      <c r="BXB43" s="3"/>
      <c r="BXC43" s="3"/>
      <c r="BXD43" s="3"/>
      <c r="BXE43" s="3"/>
      <c r="BXF43" s="3"/>
      <c r="BXG43" s="3"/>
      <c r="BXH43" s="3"/>
      <c r="BXI43" s="3"/>
      <c r="BXJ43" s="3"/>
      <c r="BXK43" s="3"/>
      <c r="BXL43" s="3"/>
      <c r="BXM43" s="3"/>
      <c r="BXN43" s="3"/>
      <c r="BXO43" s="3"/>
      <c r="BXP43" s="3"/>
      <c r="BXQ43" s="3"/>
      <c r="BXR43" s="3"/>
      <c r="BXS43" s="3"/>
      <c r="BXT43" s="3"/>
      <c r="BXU43" s="3"/>
      <c r="BXV43" s="3"/>
      <c r="BXW43" s="3"/>
      <c r="BXX43" s="3"/>
      <c r="BXY43" s="3"/>
      <c r="BXZ43" s="3"/>
      <c r="BYA43" s="3"/>
      <c r="BYB43" s="3"/>
      <c r="BYC43" s="3"/>
      <c r="BYD43" s="3"/>
      <c r="BYE43" s="3"/>
      <c r="BYF43" s="3"/>
      <c r="BYG43" s="3"/>
    </row>
    <row r="44" spans="1:2009" s="185" customFormat="1" ht="24.95" customHeight="1" thickBot="1" x14ac:dyDescent="0.3">
      <c r="A44" s="182"/>
      <c r="B44" s="183" t="s">
        <v>45</v>
      </c>
      <c r="C44" s="184">
        <f>SUM(C39:C43)</f>
        <v>19571.849999999999</v>
      </c>
      <c r="D44" s="184">
        <f>SUM(D39:D43)</f>
        <v>21763.58</v>
      </c>
      <c r="E44" s="184"/>
      <c r="F44" s="184"/>
      <c r="G44" s="644">
        <f>SUM(G39:G43)</f>
        <v>41335.43</v>
      </c>
      <c r="H44" s="169"/>
      <c r="I44" s="26"/>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69"/>
      <c r="BH44" s="169"/>
      <c r="BI44" s="169"/>
      <c r="BJ44" s="169"/>
      <c r="BK44" s="169"/>
      <c r="BL44" s="169"/>
      <c r="BM44" s="169"/>
      <c r="BN44" s="169"/>
      <c r="BO44" s="169"/>
      <c r="BP44" s="169"/>
      <c r="BQ44" s="169"/>
      <c r="BR44" s="169"/>
      <c r="BS44" s="169"/>
      <c r="BT44" s="169"/>
      <c r="BU44" s="169"/>
      <c r="BV44" s="169"/>
      <c r="BW44" s="169"/>
      <c r="BX44" s="169"/>
      <c r="BY44" s="169"/>
      <c r="BZ44" s="169"/>
      <c r="CA44" s="169"/>
      <c r="CB44" s="169"/>
      <c r="CC44" s="169"/>
      <c r="CD44" s="169"/>
      <c r="CE44" s="169"/>
      <c r="CF44" s="169"/>
      <c r="CG44" s="169"/>
      <c r="CH44" s="169"/>
      <c r="CI44" s="169"/>
      <c r="CJ44" s="169"/>
      <c r="CK44" s="169"/>
      <c r="CL44" s="169"/>
      <c r="CM44" s="169"/>
      <c r="CN44" s="169"/>
      <c r="CO44" s="169"/>
      <c r="CP44" s="169"/>
      <c r="CQ44" s="169"/>
      <c r="CR44" s="169"/>
      <c r="CS44" s="169"/>
      <c r="CT44" s="169"/>
      <c r="CU44" s="169"/>
      <c r="CV44" s="169"/>
      <c r="CW44" s="169"/>
      <c r="CX44" s="169"/>
      <c r="CY44" s="169"/>
      <c r="CZ44" s="169"/>
      <c r="DA44" s="169"/>
      <c r="DB44" s="169"/>
      <c r="DC44" s="169"/>
      <c r="DD44" s="169"/>
      <c r="DE44" s="169"/>
      <c r="DF44" s="169"/>
      <c r="DG44" s="169"/>
      <c r="DH44" s="169"/>
      <c r="DI44" s="169"/>
      <c r="DJ44" s="169"/>
      <c r="DK44" s="169"/>
      <c r="DL44" s="169"/>
      <c r="DM44" s="169"/>
      <c r="DN44" s="169"/>
      <c r="DO44" s="169"/>
      <c r="DP44" s="169"/>
      <c r="DQ44" s="169"/>
      <c r="DR44" s="169"/>
      <c r="DS44" s="169"/>
      <c r="DT44" s="169"/>
      <c r="DU44" s="169"/>
      <c r="DV44" s="169"/>
      <c r="DW44" s="169"/>
      <c r="DX44" s="169"/>
      <c r="DY44" s="169"/>
      <c r="DZ44" s="169"/>
      <c r="EA44" s="169"/>
      <c r="EB44" s="169"/>
      <c r="EC44" s="169"/>
      <c r="ED44" s="169"/>
      <c r="EE44" s="169"/>
      <c r="EF44" s="169"/>
      <c r="EG44" s="169"/>
      <c r="EH44" s="169"/>
      <c r="EI44" s="169"/>
      <c r="EJ44" s="169"/>
      <c r="EK44" s="169"/>
      <c r="EL44" s="169"/>
      <c r="EM44" s="169"/>
      <c r="EN44" s="169"/>
      <c r="EO44" s="169"/>
      <c r="EP44" s="169"/>
      <c r="EQ44" s="169"/>
      <c r="ER44" s="169"/>
      <c r="ES44" s="169"/>
      <c r="ET44" s="169"/>
      <c r="EU44" s="169"/>
      <c r="EV44" s="169"/>
      <c r="EW44" s="169"/>
      <c r="EX44" s="169"/>
      <c r="EY44" s="169"/>
      <c r="EZ44" s="169"/>
      <c r="FA44" s="169"/>
      <c r="FB44" s="169"/>
      <c r="FC44" s="169"/>
      <c r="FD44" s="169"/>
      <c r="FE44" s="169"/>
      <c r="FF44" s="169"/>
      <c r="FG44" s="169"/>
      <c r="FH44" s="169"/>
      <c r="FI44" s="169"/>
      <c r="FJ44" s="169"/>
      <c r="FK44" s="169"/>
      <c r="FL44" s="169"/>
      <c r="FM44" s="169"/>
      <c r="FN44" s="169"/>
      <c r="FO44" s="169"/>
      <c r="FP44" s="169"/>
      <c r="FQ44" s="169"/>
      <c r="FR44" s="169"/>
      <c r="FS44" s="169"/>
      <c r="FT44" s="169"/>
      <c r="FU44" s="169"/>
      <c r="FV44" s="169"/>
      <c r="FW44" s="169"/>
      <c r="FX44" s="169"/>
      <c r="FY44" s="169"/>
      <c r="FZ44" s="169"/>
      <c r="GA44" s="169"/>
      <c r="GB44" s="169"/>
      <c r="GC44" s="169"/>
      <c r="GD44" s="169"/>
      <c r="GE44" s="169"/>
      <c r="GF44" s="169"/>
      <c r="GG44" s="169"/>
      <c r="GH44" s="169"/>
      <c r="GI44" s="169"/>
      <c r="GJ44" s="169"/>
      <c r="GK44" s="169"/>
      <c r="GL44" s="169"/>
      <c r="GM44" s="169"/>
      <c r="GN44" s="169"/>
      <c r="GO44" s="169"/>
      <c r="GP44" s="169"/>
      <c r="GQ44" s="169"/>
      <c r="GR44" s="169"/>
      <c r="GS44" s="169"/>
      <c r="GT44" s="169"/>
      <c r="GU44" s="169"/>
      <c r="GV44" s="169"/>
      <c r="GW44" s="169"/>
      <c r="GX44" s="169"/>
      <c r="GY44" s="169"/>
      <c r="GZ44" s="169"/>
      <c r="HA44" s="169"/>
      <c r="HB44" s="169"/>
      <c r="HC44" s="169"/>
      <c r="HD44" s="169"/>
      <c r="HE44" s="169"/>
      <c r="HF44" s="169"/>
      <c r="HG44" s="169"/>
      <c r="HH44" s="169"/>
      <c r="HI44" s="169"/>
      <c r="HJ44" s="169"/>
      <c r="HK44" s="169"/>
      <c r="HL44" s="169"/>
      <c r="HM44" s="169"/>
      <c r="HN44" s="169"/>
      <c r="HO44" s="169"/>
      <c r="HP44" s="169"/>
      <c r="HQ44" s="169"/>
      <c r="HR44" s="169"/>
      <c r="HS44" s="169"/>
      <c r="HT44" s="169"/>
      <c r="HU44" s="169"/>
      <c r="HV44" s="169"/>
      <c r="HW44" s="169"/>
      <c r="HX44" s="169"/>
      <c r="HY44" s="169"/>
      <c r="HZ44" s="169"/>
      <c r="IA44" s="169"/>
      <c r="IB44" s="169"/>
      <c r="IC44" s="169"/>
      <c r="ID44" s="169"/>
      <c r="IE44" s="169"/>
      <c r="IF44" s="169"/>
      <c r="IG44" s="169"/>
      <c r="IH44" s="169"/>
      <c r="II44" s="169"/>
      <c r="IJ44" s="169"/>
      <c r="IK44" s="169"/>
      <c r="IL44" s="169"/>
      <c r="IM44" s="169"/>
      <c r="IN44" s="169"/>
      <c r="IO44" s="169"/>
      <c r="IP44" s="169"/>
      <c r="IQ44" s="169"/>
      <c r="IR44" s="169"/>
      <c r="IS44" s="169"/>
      <c r="IT44" s="169"/>
      <c r="IU44" s="169"/>
      <c r="IV44" s="169"/>
      <c r="IW44" s="169"/>
      <c r="IX44" s="169"/>
      <c r="IY44" s="169"/>
      <c r="IZ44" s="169"/>
      <c r="JA44" s="169"/>
      <c r="JB44" s="169"/>
      <c r="JC44" s="169"/>
      <c r="JD44" s="169"/>
      <c r="JE44" s="169"/>
      <c r="JF44" s="169"/>
      <c r="JG44" s="169"/>
      <c r="JH44" s="169"/>
      <c r="JI44" s="169"/>
      <c r="JJ44" s="169"/>
      <c r="JK44" s="169"/>
      <c r="JL44" s="169"/>
      <c r="JM44" s="169"/>
      <c r="JN44" s="169"/>
      <c r="JO44" s="169"/>
      <c r="JP44" s="169"/>
      <c r="JQ44" s="169"/>
      <c r="JR44" s="169"/>
      <c r="JS44" s="169"/>
      <c r="JT44" s="169"/>
      <c r="JU44" s="169"/>
      <c r="JV44" s="169"/>
      <c r="JW44" s="169"/>
      <c r="JX44" s="169"/>
      <c r="JY44" s="169"/>
      <c r="JZ44" s="169"/>
      <c r="KA44" s="169"/>
      <c r="KB44" s="169"/>
      <c r="KC44" s="169"/>
      <c r="KD44" s="169"/>
      <c r="KE44" s="169"/>
      <c r="KF44" s="169"/>
      <c r="KG44" s="169"/>
      <c r="KH44" s="169"/>
      <c r="KI44" s="169"/>
      <c r="KJ44" s="169"/>
      <c r="KK44" s="169"/>
      <c r="KL44" s="169"/>
      <c r="KM44" s="169"/>
      <c r="KN44" s="169"/>
      <c r="KO44" s="169"/>
      <c r="KP44" s="169"/>
      <c r="KQ44" s="169"/>
      <c r="KR44" s="169"/>
      <c r="KS44" s="169"/>
      <c r="KT44" s="169"/>
      <c r="KU44" s="169"/>
      <c r="KV44" s="169"/>
      <c r="KW44" s="169"/>
      <c r="KX44" s="169"/>
      <c r="KY44" s="169"/>
      <c r="KZ44" s="169"/>
      <c r="LA44" s="169"/>
      <c r="LB44" s="169"/>
      <c r="LC44" s="169"/>
      <c r="LD44" s="169"/>
      <c r="LE44" s="169"/>
      <c r="LF44" s="169"/>
      <c r="LG44" s="169"/>
      <c r="LH44" s="169"/>
      <c r="LI44" s="169"/>
      <c r="LJ44" s="169"/>
      <c r="LK44" s="169"/>
      <c r="LL44" s="169"/>
      <c r="LM44" s="169"/>
      <c r="LN44" s="169"/>
      <c r="LO44" s="169"/>
      <c r="LP44" s="169"/>
      <c r="LQ44" s="169"/>
      <c r="LR44" s="169"/>
      <c r="LS44" s="169"/>
      <c r="LT44" s="169"/>
      <c r="LU44" s="169"/>
      <c r="LV44" s="169"/>
      <c r="LW44" s="169"/>
      <c r="LX44" s="169"/>
      <c r="LY44" s="169"/>
      <c r="LZ44" s="169"/>
      <c r="MA44" s="169"/>
      <c r="MB44" s="169"/>
      <c r="MC44" s="169"/>
      <c r="MD44" s="169"/>
      <c r="ME44" s="169"/>
      <c r="MF44" s="169"/>
      <c r="MG44" s="169"/>
      <c r="MH44" s="169"/>
      <c r="MI44" s="169"/>
      <c r="MJ44" s="169"/>
      <c r="MK44" s="169"/>
      <c r="ML44" s="169"/>
      <c r="MM44" s="169"/>
      <c r="MN44" s="169"/>
      <c r="MO44" s="169"/>
      <c r="MP44" s="169"/>
      <c r="MQ44" s="169"/>
      <c r="MR44" s="169"/>
      <c r="MS44" s="169"/>
      <c r="MT44" s="169"/>
      <c r="MU44" s="169"/>
      <c r="MV44" s="169"/>
      <c r="MW44" s="169"/>
      <c r="MX44" s="169"/>
      <c r="MY44" s="169"/>
      <c r="MZ44" s="169"/>
      <c r="NA44" s="169"/>
      <c r="NB44" s="169"/>
      <c r="NC44" s="169"/>
      <c r="ND44" s="169"/>
      <c r="NE44" s="169"/>
      <c r="NF44" s="169"/>
      <c r="NG44" s="169"/>
      <c r="NH44" s="169"/>
      <c r="NI44" s="169"/>
      <c r="NJ44" s="169"/>
      <c r="NK44" s="169"/>
      <c r="NL44" s="169"/>
      <c r="NM44" s="169"/>
      <c r="NN44" s="169"/>
      <c r="NO44" s="169"/>
      <c r="NP44" s="169"/>
      <c r="NQ44" s="169"/>
      <c r="NR44" s="169"/>
      <c r="NS44" s="169"/>
      <c r="NT44" s="169"/>
      <c r="NU44" s="169"/>
      <c r="NV44" s="169"/>
      <c r="NW44" s="169"/>
      <c r="NX44" s="169"/>
      <c r="NY44" s="169"/>
      <c r="NZ44" s="169"/>
      <c r="OA44" s="169"/>
      <c r="OB44" s="169"/>
      <c r="OC44" s="169"/>
      <c r="OD44" s="169"/>
      <c r="OE44" s="169"/>
      <c r="OF44" s="169"/>
      <c r="OG44" s="169"/>
      <c r="OH44" s="169"/>
      <c r="OI44" s="169"/>
      <c r="OJ44" s="169"/>
      <c r="OK44" s="169"/>
      <c r="OL44" s="169"/>
      <c r="OM44" s="169"/>
      <c r="ON44" s="169"/>
      <c r="OO44" s="169"/>
      <c r="OP44" s="169"/>
      <c r="OQ44" s="169"/>
      <c r="OR44" s="169"/>
      <c r="OS44" s="169"/>
      <c r="OT44" s="169"/>
      <c r="OU44" s="169"/>
      <c r="OV44" s="169"/>
      <c r="OW44" s="169"/>
      <c r="OX44" s="169"/>
      <c r="OY44" s="169"/>
      <c r="OZ44" s="169"/>
      <c r="PA44" s="169"/>
      <c r="PB44" s="169"/>
      <c r="PC44" s="169"/>
      <c r="PD44" s="169"/>
      <c r="PE44" s="169"/>
      <c r="PF44" s="169"/>
      <c r="PG44" s="169"/>
      <c r="PH44" s="169"/>
      <c r="PI44" s="169"/>
      <c r="PJ44" s="169"/>
      <c r="PK44" s="169"/>
      <c r="PL44" s="169"/>
      <c r="PM44" s="169"/>
      <c r="PN44" s="169"/>
      <c r="PO44" s="169"/>
      <c r="PP44" s="169"/>
      <c r="PQ44" s="169"/>
      <c r="PR44" s="169"/>
      <c r="PS44" s="169"/>
      <c r="PT44" s="169"/>
      <c r="PU44" s="169"/>
      <c r="PV44" s="169"/>
      <c r="PW44" s="169"/>
      <c r="PX44" s="169"/>
      <c r="PY44" s="169"/>
      <c r="PZ44" s="169"/>
      <c r="QA44" s="169"/>
      <c r="QB44" s="169"/>
      <c r="QC44" s="169"/>
      <c r="QD44" s="169"/>
      <c r="QE44" s="169"/>
      <c r="QF44" s="169"/>
      <c r="QG44" s="169"/>
      <c r="QH44" s="169"/>
      <c r="QI44" s="169"/>
      <c r="QJ44" s="169"/>
      <c r="QK44" s="169"/>
      <c r="QL44" s="169"/>
      <c r="QM44" s="169"/>
      <c r="QN44" s="169"/>
      <c r="QO44" s="169"/>
      <c r="QP44" s="169"/>
      <c r="QQ44" s="169"/>
      <c r="QR44" s="169"/>
      <c r="QS44" s="169"/>
      <c r="QT44" s="169"/>
      <c r="QU44" s="169"/>
      <c r="QV44" s="169"/>
      <c r="QW44" s="169"/>
      <c r="QX44" s="169"/>
      <c r="QY44" s="169"/>
      <c r="QZ44" s="169"/>
      <c r="RA44" s="169"/>
      <c r="RB44" s="169"/>
      <c r="RC44" s="169"/>
      <c r="RD44" s="169"/>
      <c r="RE44" s="169"/>
      <c r="RF44" s="169"/>
      <c r="RG44" s="169"/>
      <c r="RH44" s="169"/>
      <c r="RI44" s="169"/>
      <c r="RJ44" s="169"/>
      <c r="RK44" s="169"/>
      <c r="RL44" s="169"/>
      <c r="RM44" s="169"/>
      <c r="RN44" s="169"/>
      <c r="RO44" s="169"/>
      <c r="RP44" s="169"/>
      <c r="RQ44" s="169"/>
      <c r="RR44" s="169"/>
      <c r="RS44" s="169"/>
      <c r="RT44" s="169"/>
      <c r="RU44" s="169"/>
      <c r="RV44" s="169"/>
      <c r="RW44" s="169"/>
      <c r="RX44" s="169"/>
      <c r="RY44" s="169"/>
      <c r="RZ44" s="169"/>
      <c r="SA44" s="169"/>
      <c r="SB44" s="169"/>
      <c r="SC44" s="169"/>
      <c r="SD44" s="169"/>
      <c r="SE44" s="169"/>
      <c r="SF44" s="169"/>
      <c r="SG44" s="169"/>
      <c r="SH44" s="169"/>
      <c r="SI44" s="169"/>
      <c r="SJ44" s="169"/>
      <c r="SK44" s="169"/>
      <c r="SL44" s="169"/>
      <c r="SM44" s="169"/>
      <c r="SN44" s="169"/>
      <c r="SO44" s="169"/>
      <c r="SP44" s="169"/>
      <c r="SQ44" s="169"/>
      <c r="SR44" s="169"/>
      <c r="SS44" s="169"/>
      <c r="ST44" s="169"/>
      <c r="SU44" s="169"/>
      <c r="SV44" s="169"/>
      <c r="SW44" s="169"/>
      <c r="SX44" s="169"/>
      <c r="SY44" s="169"/>
      <c r="SZ44" s="169"/>
      <c r="TA44" s="169"/>
      <c r="TB44" s="169"/>
      <c r="TC44" s="169"/>
      <c r="TD44" s="169"/>
      <c r="TE44" s="169"/>
      <c r="TF44" s="169"/>
      <c r="TG44" s="169"/>
      <c r="TH44" s="169"/>
      <c r="TI44" s="169"/>
      <c r="TJ44" s="169"/>
      <c r="TK44" s="169"/>
      <c r="TL44" s="169"/>
      <c r="TM44" s="169"/>
      <c r="TN44" s="169"/>
      <c r="TO44" s="169"/>
      <c r="TP44" s="169"/>
      <c r="TQ44" s="169"/>
      <c r="TR44" s="169"/>
      <c r="TS44" s="169"/>
      <c r="TT44" s="169"/>
      <c r="TU44" s="169"/>
      <c r="TV44" s="169"/>
      <c r="TW44" s="169"/>
      <c r="TX44" s="169"/>
      <c r="TY44" s="169"/>
      <c r="TZ44" s="169"/>
      <c r="UA44" s="169"/>
      <c r="UB44" s="169"/>
      <c r="UC44" s="169"/>
      <c r="UD44" s="169"/>
      <c r="UE44" s="169"/>
      <c r="UF44" s="169"/>
      <c r="UG44" s="169"/>
      <c r="UH44" s="169"/>
      <c r="UI44" s="169"/>
      <c r="UJ44" s="169"/>
      <c r="UK44" s="169"/>
      <c r="UL44" s="169"/>
      <c r="UM44" s="169"/>
      <c r="UN44" s="169"/>
      <c r="UO44" s="169"/>
      <c r="UP44" s="169"/>
      <c r="UQ44" s="169"/>
      <c r="UR44" s="169"/>
      <c r="US44" s="169"/>
      <c r="UT44" s="169"/>
      <c r="UU44" s="169"/>
      <c r="UV44" s="169"/>
      <c r="UW44" s="169"/>
      <c r="UX44" s="169"/>
      <c r="UY44" s="169"/>
      <c r="UZ44" s="169"/>
      <c r="VA44" s="169"/>
      <c r="VB44" s="169"/>
      <c r="VC44" s="169"/>
      <c r="VD44" s="169"/>
      <c r="VE44" s="169"/>
      <c r="VF44" s="169"/>
      <c r="VG44" s="169"/>
      <c r="VH44" s="169"/>
      <c r="VI44" s="169"/>
      <c r="VJ44" s="169"/>
      <c r="VK44" s="169"/>
      <c r="VL44" s="169"/>
      <c r="VM44" s="169"/>
      <c r="VN44" s="169"/>
      <c r="VO44" s="169"/>
      <c r="VP44" s="169"/>
      <c r="VQ44" s="169"/>
      <c r="VR44" s="169"/>
      <c r="VS44" s="169"/>
      <c r="VT44" s="169"/>
      <c r="VU44" s="169"/>
      <c r="VV44" s="169"/>
      <c r="VW44" s="169"/>
      <c r="VX44" s="169"/>
      <c r="VY44" s="169"/>
      <c r="VZ44" s="169"/>
      <c r="WA44" s="169"/>
      <c r="WB44" s="169"/>
      <c r="WC44" s="169"/>
      <c r="WD44" s="169"/>
      <c r="WE44" s="169"/>
      <c r="WF44" s="169"/>
      <c r="WG44" s="169"/>
      <c r="WH44" s="169"/>
      <c r="WI44" s="169"/>
      <c r="WJ44" s="169"/>
      <c r="WK44" s="169"/>
      <c r="WL44" s="169"/>
      <c r="WM44" s="169"/>
      <c r="WN44" s="169"/>
      <c r="WO44" s="169"/>
      <c r="WP44" s="169"/>
      <c r="WQ44" s="169"/>
      <c r="WR44" s="169"/>
      <c r="WS44" s="169"/>
      <c r="WT44" s="169"/>
      <c r="WU44" s="169"/>
      <c r="WV44" s="169"/>
      <c r="WW44" s="169"/>
      <c r="WX44" s="169"/>
      <c r="WY44" s="169"/>
      <c r="WZ44" s="169"/>
      <c r="XA44" s="169"/>
      <c r="XB44" s="169"/>
      <c r="XC44" s="169"/>
      <c r="XD44" s="169"/>
      <c r="XE44" s="169"/>
      <c r="XF44" s="169"/>
      <c r="XG44" s="169"/>
      <c r="XH44" s="169"/>
      <c r="XI44" s="169"/>
      <c r="XJ44" s="169"/>
      <c r="XK44" s="169"/>
      <c r="XL44" s="169"/>
      <c r="XM44" s="169"/>
      <c r="XN44" s="169"/>
      <c r="XO44" s="169"/>
      <c r="XP44" s="169"/>
      <c r="XQ44" s="169"/>
      <c r="XR44" s="169"/>
      <c r="XS44" s="169"/>
      <c r="XT44" s="169"/>
      <c r="XU44" s="169"/>
      <c r="XV44" s="169"/>
      <c r="XW44" s="169"/>
      <c r="XX44" s="169"/>
      <c r="XY44" s="169"/>
      <c r="XZ44" s="169"/>
      <c r="YA44" s="169"/>
      <c r="YB44" s="169"/>
      <c r="YC44" s="169"/>
      <c r="YD44" s="169"/>
      <c r="YE44" s="169"/>
      <c r="YF44" s="169"/>
      <c r="YG44" s="169"/>
      <c r="YH44" s="169"/>
      <c r="YI44" s="169"/>
      <c r="YJ44" s="169"/>
      <c r="YK44" s="169"/>
      <c r="YL44" s="169"/>
      <c r="YM44" s="169"/>
      <c r="YN44" s="169"/>
      <c r="YO44" s="169"/>
      <c r="YP44" s="169"/>
      <c r="YQ44" s="169"/>
      <c r="YR44" s="169"/>
      <c r="YS44" s="169"/>
      <c r="YT44" s="169"/>
      <c r="YU44" s="169"/>
      <c r="YV44" s="169"/>
      <c r="YW44" s="169"/>
      <c r="YX44" s="169"/>
      <c r="YY44" s="169"/>
      <c r="YZ44" s="169"/>
      <c r="ZA44" s="169"/>
      <c r="ZB44" s="169"/>
      <c r="ZC44" s="169"/>
      <c r="ZD44" s="169"/>
      <c r="ZE44" s="169"/>
      <c r="ZF44" s="169"/>
      <c r="ZG44" s="169"/>
      <c r="ZH44" s="169"/>
      <c r="ZI44" s="169"/>
      <c r="ZJ44" s="169"/>
      <c r="ZK44" s="169"/>
      <c r="ZL44" s="169"/>
      <c r="ZM44" s="169"/>
      <c r="ZN44" s="169"/>
      <c r="ZO44" s="169"/>
      <c r="ZP44" s="169"/>
      <c r="ZQ44" s="169"/>
      <c r="ZR44" s="169"/>
      <c r="ZS44" s="169"/>
      <c r="ZT44" s="169"/>
      <c r="ZU44" s="169"/>
      <c r="ZV44" s="169"/>
      <c r="ZW44" s="169"/>
      <c r="ZX44" s="169"/>
      <c r="ZY44" s="169"/>
      <c r="ZZ44" s="169"/>
      <c r="AAA44" s="169"/>
      <c r="AAB44" s="169"/>
      <c r="AAC44" s="169"/>
      <c r="AAD44" s="169"/>
      <c r="AAE44" s="169"/>
      <c r="AAF44" s="169"/>
      <c r="AAG44" s="169"/>
      <c r="AAH44" s="169"/>
      <c r="AAI44" s="169"/>
      <c r="AAJ44" s="169"/>
      <c r="AAK44" s="169"/>
      <c r="AAL44" s="169"/>
      <c r="AAM44" s="169"/>
      <c r="AAN44" s="169"/>
      <c r="AAO44" s="169"/>
      <c r="AAP44" s="169"/>
      <c r="AAQ44" s="169"/>
      <c r="AAR44" s="169"/>
      <c r="AAS44" s="169"/>
      <c r="AAT44" s="169"/>
      <c r="AAU44" s="169"/>
      <c r="AAV44" s="169"/>
      <c r="AAW44" s="169"/>
      <c r="AAX44" s="169"/>
      <c r="AAY44" s="169"/>
      <c r="AAZ44" s="169"/>
      <c r="ABA44" s="169"/>
      <c r="ABB44" s="169"/>
      <c r="ABC44" s="169"/>
      <c r="ABD44" s="169"/>
      <c r="ABE44" s="169"/>
      <c r="ABF44" s="169"/>
      <c r="ABG44" s="169"/>
      <c r="ABH44" s="169"/>
      <c r="ABI44" s="169"/>
      <c r="ABJ44" s="169"/>
      <c r="ABK44" s="169"/>
      <c r="ABL44" s="169"/>
      <c r="ABM44" s="169"/>
      <c r="ABN44" s="169"/>
      <c r="ABO44" s="169"/>
      <c r="ABP44" s="169"/>
      <c r="ABQ44" s="169"/>
      <c r="ABR44" s="169"/>
      <c r="ABS44" s="169"/>
      <c r="ABT44" s="169"/>
      <c r="ABU44" s="169"/>
      <c r="ABV44" s="169"/>
      <c r="ABW44" s="169"/>
      <c r="ABX44" s="169"/>
      <c r="ABY44" s="169"/>
      <c r="ABZ44" s="169"/>
      <c r="ACA44" s="169"/>
      <c r="ACB44" s="169"/>
      <c r="ACC44" s="169"/>
      <c r="ACD44" s="169"/>
      <c r="ACE44" s="169"/>
      <c r="ACF44" s="169"/>
      <c r="ACG44" s="169"/>
      <c r="ACH44" s="169"/>
      <c r="ACI44" s="169"/>
      <c r="ACJ44" s="169"/>
      <c r="ACK44" s="169"/>
      <c r="ACL44" s="169"/>
      <c r="ACM44" s="169"/>
      <c r="ACN44" s="169"/>
      <c r="ACO44" s="169"/>
      <c r="ACP44" s="169"/>
      <c r="ACQ44" s="169"/>
      <c r="ACR44" s="169"/>
      <c r="ACS44" s="169"/>
      <c r="ACT44" s="169"/>
      <c r="ACU44" s="169"/>
      <c r="ACV44" s="169"/>
      <c r="ACW44" s="169"/>
      <c r="ACX44" s="169"/>
      <c r="ACY44" s="169"/>
      <c r="ACZ44" s="169"/>
      <c r="ADA44" s="169"/>
      <c r="ADB44" s="169"/>
      <c r="ADC44" s="169"/>
      <c r="ADD44" s="169"/>
      <c r="ADE44" s="169"/>
      <c r="ADF44" s="169"/>
      <c r="ADG44" s="169"/>
      <c r="ADH44" s="169"/>
      <c r="ADI44" s="169"/>
      <c r="ADJ44" s="169"/>
      <c r="ADK44" s="169"/>
      <c r="ADL44" s="169"/>
      <c r="ADM44" s="169"/>
      <c r="ADN44" s="169"/>
      <c r="ADO44" s="169"/>
      <c r="ADP44" s="169"/>
      <c r="ADQ44" s="169"/>
      <c r="ADR44" s="169"/>
      <c r="ADS44" s="169"/>
      <c r="ADT44" s="169"/>
      <c r="ADU44" s="169"/>
      <c r="ADV44" s="169"/>
      <c r="ADW44" s="169"/>
      <c r="ADX44" s="169"/>
      <c r="ADY44" s="169"/>
      <c r="ADZ44" s="169"/>
      <c r="AEA44" s="169"/>
      <c r="AEB44" s="169"/>
      <c r="AEC44" s="169"/>
      <c r="AED44" s="169"/>
      <c r="AEE44" s="169"/>
      <c r="AEF44" s="169"/>
      <c r="AEG44" s="169"/>
      <c r="AEH44" s="169"/>
      <c r="AEI44" s="169"/>
      <c r="AEJ44" s="169"/>
      <c r="AEK44" s="169"/>
      <c r="AEL44" s="169"/>
      <c r="AEM44" s="169"/>
      <c r="AEN44" s="169"/>
      <c r="AEO44" s="169"/>
      <c r="AEP44" s="169"/>
      <c r="AEQ44" s="169"/>
      <c r="AER44" s="169"/>
      <c r="AES44" s="169"/>
      <c r="AET44" s="169"/>
      <c r="AEU44" s="169"/>
      <c r="AEV44" s="169"/>
      <c r="AEW44" s="169"/>
      <c r="AEX44" s="169"/>
      <c r="AEY44" s="169"/>
      <c r="AEZ44" s="169"/>
      <c r="AFA44" s="169"/>
      <c r="AFB44" s="169"/>
      <c r="AFC44" s="169"/>
      <c r="AFD44" s="169"/>
      <c r="AFE44" s="169"/>
      <c r="AFF44" s="169"/>
      <c r="AFG44" s="169"/>
      <c r="AFH44" s="169"/>
      <c r="AFI44" s="169"/>
      <c r="AFJ44" s="169"/>
      <c r="AFK44" s="169"/>
      <c r="AFL44" s="169"/>
      <c r="AFM44" s="169"/>
      <c r="AFN44" s="169"/>
      <c r="AFO44" s="169"/>
      <c r="AFP44" s="169"/>
      <c r="AFQ44" s="169"/>
      <c r="AFR44" s="169"/>
      <c r="AFS44" s="169"/>
      <c r="AFT44" s="169"/>
      <c r="AFU44" s="169"/>
      <c r="AFV44" s="169"/>
      <c r="AFW44" s="169"/>
      <c r="AFX44" s="169"/>
      <c r="AFY44" s="169"/>
      <c r="AFZ44" s="169"/>
      <c r="AGA44" s="169"/>
      <c r="AGB44" s="169"/>
      <c r="AGC44" s="169"/>
      <c r="AGD44" s="169"/>
      <c r="AGE44" s="169"/>
      <c r="AGF44" s="169"/>
      <c r="AGG44" s="169"/>
      <c r="AGH44" s="169"/>
      <c r="AGI44" s="169"/>
      <c r="AGJ44" s="169"/>
      <c r="AGK44" s="169"/>
      <c r="AGL44" s="169"/>
      <c r="AGM44" s="169"/>
      <c r="AGN44" s="169"/>
      <c r="AGO44" s="169"/>
      <c r="AGP44" s="169"/>
      <c r="AGQ44" s="169"/>
      <c r="AGR44" s="169"/>
      <c r="AGS44" s="169"/>
      <c r="AGT44" s="169"/>
      <c r="AGU44" s="169"/>
      <c r="AGV44" s="169"/>
      <c r="AGW44" s="169"/>
      <c r="AGX44" s="169"/>
      <c r="AGY44" s="169"/>
      <c r="AGZ44" s="169"/>
      <c r="AHA44" s="169"/>
      <c r="AHB44" s="169"/>
      <c r="AHC44" s="169"/>
      <c r="AHD44" s="169"/>
      <c r="AHE44" s="169"/>
      <c r="AHF44" s="169"/>
      <c r="AHG44" s="169"/>
      <c r="AHH44" s="169"/>
      <c r="AHI44" s="169"/>
      <c r="AHJ44" s="169"/>
      <c r="AHK44" s="169"/>
      <c r="AHL44" s="169"/>
      <c r="AHM44" s="169"/>
      <c r="AHN44" s="169"/>
      <c r="AHO44" s="169"/>
      <c r="AHP44" s="169"/>
      <c r="AHQ44" s="169"/>
      <c r="AHR44" s="169"/>
      <c r="AHS44" s="169"/>
      <c r="AHT44" s="169"/>
      <c r="AHU44" s="169"/>
      <c r="AHV44" s="169"/>
      <c r="AHW44" s="169"/>
      <c r="AHX44" s="169"/>
      <c r="AHY44" s="169"/>
      <c r="AHZ44" s="169"/>
      <c r="AIA44" s="169"/>
      <c r="AIB44" s="169"/>
      <c r="AIC44" s="169"/>
      <c r="AID44" s="169"/>
      <c r="AIE44" s="169"/>
      <c r="AIF44" s="169"/>
      <c r="AIG44" s="169"/>
      <c r="AIH44" s="169"/>
      <c r="AII44" s="169"/>
      <c r="AIJ44" s="169"/>
      <c r="AIK44" s="169"/>
      <c r="AIL44" s="169"/>
      <c r="AIM44" s="169"/>
      <c r="AIN44" s="169"/>
      <c r="AIO44" s="169"/>
      <c r="AIP44" s="169"/>
      <c r="AIQ44" s="169"/>
      <c r="AIR44" s="169"/>
      <c r="AIS44" s="169"/>
      <c r="AIT44" s="169"/>
      <c r="AIU44" s="169"/>
      <c r="AIV44" s="169"/>
      <c r="AIW44" s="169"/>
      <c r="AIX44" s="169"/>
      <c r="AIY44" s="169"/>
      <c r="AIZ44" s="169"/>
      <c r="AJA44" s="169"/>
      <c r="AJB44" s="169"/>
      <c r="AJC44" s="169"/>
      <c r="AJD44" s="169"/>
      <c r="AJE44" s="169"/>
      <c r="AJF44" s="169"/>
      <c r="AJG44" s="169"/>
      <c r="AJH44" s="169"/>
      <c r="AJI44" s="169"/>
      <c r="AJJ44" s="169"/>
      <c r="AJK44" s="169"/>
      <c r="AJL44" s="169"/>
      <c r="AJM44" s="169"/>
      <c r="AJN44" s="169"/>
      <c r="AJO44" s="169"/>
      <c r="AJP44" s="169"/>
      <c r="AJQ44" s="169"/>
      <c r="AJR44" s="169"/>
      <c r="AJS44" s="169"/>
      <c r="AJT44" s="169"/>
      <c r="AJU44" s="169"/>
      <c r="AJV44" s="169"/>
      <c r="AJW44" s="169"/>
      <c r="AJX44" s="169"/>
      <c r="AJY44" s="169"/>
      <c r="AJZ44" s="169"/>
      <c r="AKA44" s="169"/>
      <c r="AKB44" s="169"/>
      <c r="AKC44" s="169"/>
      <c r="AKD44" s="169"/>
      <c r="AKE44" s="169"/>
      <c r="AKF44" s="169"/>
      <c r="AKG44" s="169"/>
      <c r="AKH44" s="169"/>
      <c r="AKI44" s="169"/>
      <c r="AKJ44" s="169"/>
      <c r="AKK44" s="169"/>
      <c r="AKL44" s="169"/>
      <c r="AKM44" s="169"/>
      <c r="AKN44" s="169"/>
      <c r="AKO44" s="169"/>
      <c r="AKP44" s="169"/>
      <c r="AKQ44" s="169"/>
      <c r="AKR44" s="169"/>
      <c r="AKS44" s="169"/>
      <c r="AKT44" s="169"/>
      <c r="AKU44" s="169"/>
      <c r="AKV44" s="169"/>
      <c r="AKW44" s="169"/>
      <c r="AKX44" s="169"/>
      <c r="AKY44" s="169"/>
      <c r="AKZ44" s="169"/>
      <c r="ALA44" s="169"/>
      <c r="ALB44" s="169"/>
      <c r="ALC44" s="169"/>
      <c r="ALD44" s="169"/>
      <c r="ALE44" s="169"/>
      <c r="ALF44" s="169"/>
      <c r="ALG44" s="169"/>
      <c r="ALH44" s="169"/>
      <c r="ALI44" s="169"/>
      <c r="ALJ44" s="169"/>
      <c r="ALK44" s="169"/>
      <c r="ALL44" s="169"/>
      <c r="ALM44" s="169"/>
      <c r="ALN44" s="169"/>
      <c r="ALO44" s="169"/>
      <c r="ALP44" s="169"/>
      <c r="ALQ44" s="169"/>
      <c r="ALR44" s="169"/>
      <c r="ALS44" s="169"/>
      <c r="ALT44" s="169"/>
      <c r="ALU44" s="169"/>
      <c r="ALV44" s="169"/>
      <c r="ALW44" s="169"/>
      <c r="ALX44" s="169"/>
      <c r="ALY44" s="169"/>
      <c r="ALZ44" s="169"/>
      <c r="AMA44" s="169"/>
      <c r="AMB44" s="169"/>
      <c r="AMC44" s="169"/>
      <c r="AMD44" s="169"/>
      <c r="AME44" s="169"/>
      <c r="AMF44" s="169"/>
      <c r="AMG44" s="169"/>
      <c r="AMH44" s="169"/>
      <c r="AMI44" s="169"/>
      <c r="AMJ44" s="169"/>
      <c r="AMK44" s="169"/>
      <c r="AML44" s="169"/>
      <c r="AMM44" s="169"/>
      <c r="AMN44" s="169"/>
      <c r="AMO44" s="169"/>
      <c r="AMP44" s="169"/>
      <c r="AMQ44" s="169"/>
      <c r="AMR44" s="169"/>
      <c r="AMS44" s="169"/>
      <c r="AMT44" s="169"/>
      <c r="AMU44" s="169"/>
      <c r="AMV44" s="169"/>
      <c r="AMW44" s="169"/>
      <c r="AMX44" s="169"/>
      <c r="AMY44" s="169"/>
      <c r="AMZ44" s="169"/>
      <c r="ANA44" s="169"/>
      <c r="ANB44" s="169"/>
      <c r="ANC44" s="169"/>
      <c r="AND44" s="169"/>
      <c r="ANE44" s="169"/>
      <c r="ANF44" s="169"/>
      <c r="ANG44" s="169"/>
      <c r="ANH44" s="169"/>
      <c r="ANI44" s="169"/>
      <c r="ANJ44" s="169"/>
      <c r="ANK44" s="169"/>
      <c r="ANL44" s="169"/>
      <c r="ANM44" s="169"/>
      <c r="ANN44" s="169"/>
      <c r="ANO44" s="169"/>
      <c r="ANP44" s="169"/>
      <c r="ANQ44" s="169"/>
      <c r="ANR44" s="169"/>
      <c r="ANS44" s="169"/>
      <c r="ANT44" s="169"/>
      <c r="ANU44" s="169"/>
      <c r="ANV44" s="169"/>
      <c r="ANW44" s="169"/>
      <c r="ANX44" s="169"/>
      <c r="ANY44" s="169"/>
      <c r="ANZ44" s="169"/>
      <c r="AOA44" s="169"/>
      <c r="AOB44" s="169"/>
      <c r="AOC44" s="169"/>
      <c r="AOD44" s="169"/>
      <c r="AOE44" s="169"/>
      <c r="AOF44" s="169"/>
      <c r="AOG44" s="169"/>
      <c r="AOH44" s="169"/>
      <c r="AOI44" s="169"/>
      <c r="AOJ44" s="169"/>
      <c r="AOK44" s="169"/>
      <c r="AOL44" s="169"/>
      <c r="AOM44" s="169"/>
      <c r="AON44" s="169"/>
      <c r="AOO44" s="169"/>
      <c r="AOP44" s="169"/>
      <c r="AOQ44" s="169"/>
      <c r="AOR44" s="169"/>
      <c r="AOS44" s="169"/>
      <c r="AOT44" s="169"/>
      <c r="AOU44" s="169"/>
      <c r="AOV44" s="169"/>
      <c r="AOW44" s="169"/>
      <c r="AOX44" s="169"/>
      <c r="AOY44" s="169"/>
      <c r="AOZ44" s="169"/>
      <c r="APA44" s="169"/>
      <c r="APB44" s="169"/>
      <c r="APC44" s="169"/>
      <c r="APD44" s="169"/>
      <c r="APE44" s="169"/>
      <c r="APF44" s="169"/>
      <c r="APG44" s="169"/>
      <c r="APH44" s="169"/>
      <c r="API44" s="169"/>
      <c r="APJ44" s="169"/>
      <c r="APK44" s="169"/>
      <c r="APL44" s="169"/>
      <c r="APM44" s="169"/>
      <c r="APN44" s="169"/>
      <c r="APO44" s="169"/>
      <c r="APP44" s="169"/>
      <c r="APQ44" s="169"/>
      <c r="APR44" s="169"/>
      <c r="APS44" s="169"/>
      <c r="APT44" s="169"/>
      <c r="APU44" s="169"/>
      <c r="APV44" s="169"/>
      <c r="APW44" s="169"/>
      <c r="APX44" s="169"/>
      <c r="APY44" s="169"/>
      <c r="APZ44" s="169"/>
      <c r="AQA44" s="169"/>
      <c r="AQB44" s="169"/>
      <c r="AQC44" s="169"/>
      <c r="AQD44" s="169"/>
      <c r="AQE44" s="169"/>
      <c r="AQF44" s="169"/>
      <c r="AQG44" s="169"/>
      <c r="AQH44" s="169"/>
      <c r="AQI44" s="169"/>
      <c r="AQJ44" s="169"/>
      <c r="AQK44" s="169"/>
      <c r="AQL44" s="169"/>
      <c r="AQM44" s="169"/>
      <c r="AQN44" s="169"/>
      <c r="AQO44" s="169"/>
      <c r="AQP44" s="169"/>
      <c r="AQQ44" s="169"/>
      <c r="AQR44" s="169"/>
      <c r="AQS44" s="169"/>
      <c r="AQT44" s="169"/>
      <c r="AQU44" s="169"/>
      <c r="AQV44" s="169"/>
      <c r="AQW44" s="169"/>
      <c r="AQX44" s="169"/>
      <c r="AQY44" s="169"/>
      <c r="AQZ44" s="169"/>
      <c r="ARA44" s="169"/>
      <c r="ARB44" s="169"/>
      <c r="ARC44" s="169"/>
      <c r="ARD44" s="169"/>
      <c r="ARE44" s="169"/>
      <c r="ARF44" s="169"/>
      <c r="ARG44" s="169"/>
      <c r="ARH44" s="169"/>
      <c r="ARI44" s="169"/>
      <c r="ARJ44" s="169"/>
      <c r="ARK44" s="169"/>
      <c r="ARL44" s="169"/>
      <c r="ARM44" s="169"/>
      <c r="ARN44" s="169"/>
      <c r="ARO44" s="169"/>
      <c r="ARP44" s="169"/>
      <c r="ARQ44" s="169"/>
      <c r="ARR44" s="169"/>
      <c r="ARS44" s="169"/>
      <c r="ART44" s="169"/>
      <c r="ARU44" s="169"/>
      <c r="ARV44" s="169"/>
      <c r="ARW44" s="169"/>
      <c r="ARX44" s="169"/>
      <c r="ARY44" s="169"/>
      <c r="ARZ44" s="169"/>
      <c r="ASA44" s="169"/>
      <c r="ASB44" s="169"/>
      <c r="ASC44" s="169"/>
      <c r="ASD44" s="169"/>
      <c r="ASE44" s="169"/>
      <c r="ASF44" s="169"/>
      <c r="ASG44" s="169"/>
      <c r="ASH44" s="169"/>
      <c r="ASI44" s="169"/>
      <c r="ASJ44" s="169"/>
      <c r="ASK44" s="169"/>
      <c r="ASL44" s="169"/>
      <c r="ASM44" s="169"/>
      <c r="ASN44" s="169"/>
      <c r="ASO44" s="169"/>
      <c r="ASP44" s="169"/>
      <c r="ASQ44" s="169"/>
      <c r="ASR44" s="169"/>
      <c r="ASS44" s="169"/>
      <c r="AST44" s="169"/>
      <c r="ASU44" s="169"/>
      <c r="ASV44" s="169"/>
      <c r="ASW44" s="169"/>
      <c r="ASX44" s="169"/>
      <c r="ASY44" s="169"/>
      <c r="ASZ44" s="169"/>
      <c r="ATA44" s="169"/>
      <c r="ATB44" s="169"/>
      <c r="ATC44" s="169"/>
      <c r="ATD44" s="169"/>
      <c r="ATE44" s="169"/>
      <c r="ATF44" s="169"/>
      <c r="ATG44" s="169"/>
      <c r="ATH44" s="169"/>
      <c r="ATI44" s="169"/>
      <c r="ATJ44" s="169"/>
      <c r="ATK44" s="169"/>
      <c r="ATL44" s="169"/>
      <c r="ATM44" s="169"/>
      <c r="ATN44" s="169"/>
      <c r="ATO44" s="169"/>
      <c r="ATP44" s="169"/>
      <c r="ATQ44" s="169"/>
      <c r="ATR44" s="169"/>
      <c r="ATS44" s="169"/>
      <c r="ATT44" s="169"/>
      <c r="ATU44" s="169"/>
      <c r="ATV44" s="169"/>
      <c r="ATW44" s="169"/>
      <c r="ATX44" s="169"/>
      <c r="ATY44" s="169"/>
      <c r="ATZ44" s="169"/>
      <c r="AUA44" s="169"/>
      <c r="AUB44" s="169"/>
      <c r="AUC44" s="169"/>
      <c r="AUD44" s="169"/>
      <c r="AUE44" s="169"/>
      <c r="AUF44" s="169"/>
      <c r="AUG44" s="169"/>
      <c r="AUH44" s="169"/>
      <c r="AUI44" s="169"/>
      <c r="AUJ44" s="169"/>
      <c r="AUK44" s="169"/>
      <c r="AUL44" s="169"/>
      <c r="AUM44" s="169"/>
      <c r="AUN44" s="169"/>
      <c r="AUO44" s="169"/>
      <c r="AUP44" s="169"/>
      <c r="AUQ44" s="169"/>
      <c r="AUR44" s="169"/>
      <c r="AUS44" s="169"/>
      <c r="AUT44" s="169"/>
      <c r="AUU44" s="169"/>
      <c r="AUV44" s="169"/>
      <c r="AUW44" s="169"/>
      <c r="AUX44" s="169"/>
      <c r="AUY44" s="169"/>
      <c r="AUZ44" s="169"/>
      <c r="AVA44" s="169"/>
      <c r="AVB44" s="169"/>
      <c r="AVC44" s="169"/>
      <c r="AVD44" s="169"/>
      <c r="AVE44" s="169"/>
      <c r="AVF44" s="169"/>
      <c r="AVG44" s="169"/>
      <c r="AVH44" s="169"/>
      <c r="AVI44" s="169"/>
      <c r="AVJ44" s="169"/>
      <c r="AVK44" s="169"/>
      <c r="AVL44" s="169"/>
      <c r="AVM44" s="169"/>
      <c r="AVN44" s="169"/>
      <c r="AVO44" s="169"/>
      <c r="AVP44" s="169"/>
      <c r="AVQ44" s="169"/>
      <c r="AVR44" s="169"/>
      <c r="AVS44" s="169"/>
      <c r="AVT44" s="169"/>
      <c r="AVU44" s="169"/>
      <c r="AVV44" s="169"/>
      <c r="AVW44" s="169"/>
      <c r="AVX44" s="169"/>
      <c r="AVY44" s="169"/>
      <c r="AVZ44" s="169"/>
      <c r="AWA44" s="169"/>
      <c r="AWB44" s="169"/>
      <c r="AWC44" s="169"/>
      <c r="AWD44" s="169"/>
      <c r="AWE44" s="169"/>
      <c r="AWF44" s="169"/>
      <c r="AWG44" s="169"/>
      <c r="AWH44" s="169"/>
      <c r="AWI44" s="169"/>
      <c r="AWJ44" s="169"/>
      <c r="AWK44" s="169"/>
      <c r="AWL44" s="169"/>
      <c r="AWM44" s="169"/>
      <c r="AWN44" s="169"/>
      <c r="AWO44" s="169"/>
      <c r="AWP44" s="169"/>
      <c r="AWQ44" s="169"/>
      <c r="AWR44" s="169"/>
      <c r="AWS44" s="169"/>
      <c r="AWT44" s="169"/>
      <c r="AWU44" s="169"/>
      <c r="AWV44" s="169"/>
      <c r="AWW44" s="169"/>
      <c r="AWX44" s="169"/>
      <c r="AWY44" s="169"/>
      <c r="AWZ44" s="169"/>
      <c r="AXA44" s="169"/>
      <c r="AXB44" s="169"/>
      <c r="AXC44" s="169"/>
      <c r="AXD44" s="169"/>
      <c r="AXE44" s="169"/>
      <c r="AXF44" s="169"/>
      <c r="AXG44" s="169"/>
      <c r="AXH44" s="169"/>
      <c r="AXI44" s="169"/>
      <c r="AXJ44" s="169"/>
      <c r="AXK44" s="169"/>
      <c r="AXL44" s="169"/>
      <c r="AXM44" s="169"/>
      <c r="AXN44" s="169"/>
      <c r="AXO44" s="169"/>
      <c r="AXP44" s="169"/>
      <c r="AXQ44" s="169"/>
      <c r="AXR44" s="169"/>
      <c r="AXS44" s="169"/>
      <c r="AXT44" s="169"/>
      <c r="AXU44" s="169"/>
      <c r="AXV44" s="169"/>
      <c r="AXW44" s="169"/>
      <c r="AXX44" s="169"/>
      <c r="AXY44" s="169"/>
      <c r="AXZ44" s="169"/>
      <c r="AYA44" s="169"/>
      <c r="AYB44" s="169"/>
      <c r="AYC44" s="169"/>
      <c r="AYD44" s="169"/>
      <c r="AYE44" s="169"/>
      <c r="AYF44" s="169"/>
      <c r="AYG44" s="169"/>
      <c r="AYH44" s="169"/>
      <c r="AYI44" s="169"/>
      <c r="AYJ44" s="169"/>
      <c r="AYK44" s="169"/>
      <c r="AYL44" s="169"/>
      <c r="AYM44" s="169"/>
      <c r="AYN44" s="169"/>
      <c r="AYO44" s="169"/>
      <c r="AYP44" s="169"/>
      <c r="AYQ44" s="169"/>
      <c r="AYR44" s="169"/>
      <c r="AYS44" s="169"/>
      <c r="AYT44" s="169"/>
      <c r="AYU44" s="169"/>
      <c r="AYV44" s="169"/>
      <c r="AYW44" s="169"/>
      <c r="AYX44" s="169"/>
      <c r="AYY44" s="169"/>
      <c r="AYZ44" s="169"/>
      <c r="AZA44" s="169"/>
      <c r="AZB44" s="169"/>
      <c r="AZC44" s="169"/>
      <c r="AZD44" s="169"/>
      <c r="AZE44" s="169"/>
      <c r="AZF44" s="169"/>
      <c r="AZG44" s="169"/>
      <c r="AZH44" s="169"/>
      <c r="AZI44" s="169"/>
      <c r="AZJ44" s="169"/>
      <c r="AZK44" s="169"/>
      <c r="AZL44" s="169"/>
      <c r="AZM44" s="169"/>
      <c r="AZN44" s="169"/>
      <c r="AZO44" s="169"/>
      <c r="AZP44" s="169"/>
      <c r="AZQ44" s="169"/>
      <c r="AZR44" s="169"/>
      <c r="AZS44" s="169"/>
      <c r="AZT44" s="169"/>
      <c r="AZU44" s="169"/>
      <c r="AZV44" s="169"/>
      <c r="AZW44" s="169"/>
      <c r="AZX44" s="169"/>
      <c r="AZY44" s="169"/>
      <c r="AZZ44" s="169"/>
      <c r="BAA44" s="169"/>
      <c r="BAB44" s="169"/>
      <c r="BAC44" s="169"/>
      <c r="BAD44" s="169"/>
      <c r="BAE44" s="169"/>
      <c r="BAF44" s="169"/>
      <c r="BAG44" s="169"/>
      <c r="BAH44" s="169"/>
      <c r="BAI44" s="169"/>
      <c r="BAJ44" s="169"/>
      <c r="BAK44" s="169"/>
      <c r="BAL44" s="169"/>
      <c r="BAM44" s="169"/>
      <c r="BAN44" s="169"/>
      <c r="BAO44" s="169"/>
      <c r="BAP44" s="169"/>
      <c r="BAQ44" s="169"/>
      <c r="BAR44" s="169"/>
      <c r="BAS44" s="169"/>
      <c r="BAT44" s="169"/>
      <c r="BAU44" s="169"/>
      <c r="BAV44" s="169"/>
      <c r="BAW44" s="169"/>
      <c r="BAX44" s="169"/>
      <c r="BAY44" s="169"/>
      <c r="BAZ44" s="169"/>
      <c r="BBA44" s="169"/>
      <c r="BBB44" s="169"/>
      <c r="BBC44" s="169"/>
      <c r="BBD44" s="169"/>
      <c r="BBE44" s="169"/>
      <c r="BBF44" s="169"/>
      <c r="BBG44" s="169"/>
      <c r="BBH44" s="169"/>
      <c r="BBI44" s="169"/>
      <c r="BBJ44" s="169"/>
      <c r="BBK44" s="169"/>
      <c r="BBL44" s="169"/>
      <c r="BBM44" s="169"/>
      <c r="BBN44" s="169"/>
      <c r="BBO44" s="169"/>
      <c r="BBP44" s="169"/>
      <c r="BBQ44" s="169"/>
      <c r="BBR44" s="169"/>
      <c r="BBS44" s="169"/>
      <c r="BBT44" s="169"/>
      <c r="BBU44" s="169"/>
      <c r="BBV44" s="169"/>
      <c r="BBW44" s="169"/>
      <c r="BBX44" s="169"/>
      <c r="BBY44" s="169"/>
      <c r="BBZ44" s="169"/>
      <c r="BCA44" s="169"/>
      <c r="BCB44" s="169"/>
      <c r="BCC44" s="169"/>
      <c r="BCD44" s="169"/>
      <c r="BCE44" s="169"/>
      <c r="BCF44" s="169"/>
      <c r="BCG44" s="169"/>
      <c r="BCH44" s="169"/>
      <c r="BCI44" s="169"/>
      <c r="BCJ44" s="169"/>
      <c r="BCK44" s="169"/>
      <c r="BCL44" s="169"/>
      <c r="BCM44" s="169"/>
      <c r="BCN44" s="169"/>
      <c r="BCO44" s="169"/>
      <c r="BCP44" s="169"/>
      <c r="BCQ44" s="169"/>
      <c r="BCR44" s="169"/>
      <c r="BCS44" s="169"/>
      <c r="BCT44" s="169"/>
      <c r="BCU44" s="169"/>
      <c r="BCV44" s="169"/>
      <c r="BCW44" s="169"/>
      <c r="BCX44" s="169"/>
      <c r="BCY44" s="169"/>
      <c r="BCZ44" s="169"/>
      <c r="BDA44" s="169"/>
      <c r="BDB44" s="169"/>
      <c r="BDC44" s="169"/>
      <c r="BDD44" s="169"/>
      <c r="BDE44" s="169"/>
      <c r="BDF44" s="169"/>
      <c r="BDG44" s="169"/>
      <c r="BDH44" s="169"/>
      <c r="BDI44" s="169"/>
      <c r="BDJ44" s="169"/>
      <c r="BDK44" s="169"/>
      <c r="BDL44" s="169"/>
      <c r="BDM44" s="169"/>
      <c r="BDN44" s="169"/>
      <c r="BDO44" s="169"/>
      <c r="BDP44" s="169"/>
      <c r="BDQ44" s="169"/>
      <c r="BDR44" s="169"/>
      <c r="BDS44" s="169"/>
      <c r="BDT44" s="169"/>
      <c r="BDU44" s="169"/>
      <c r="BDV44" s="169"/>
      <c r="BDW44" s="169"/>
      <c r="BDX44" s="169"/>
      <c r="BDY44" s="169"/>
      <c r="BDZ44" s="169"/>
      <c r="BEA44" s="169"/>
      <c r="BEB44" s="169"/>
      <c r="BEC44" s="169"/>
      <c r="BED44" s="169"/>
      <c r="BEE44" s="169"/>
      <c r="BEF44" s="169"/>
      <c r="BEG44" s="169"/>
      <c r="BEH44" s="169"/>
      <c r="BEI44" s="169"/>
      <c r="BEJ44" s="169"/>
      <c r="BEK44" s="169"/>
      <c r="BEL44" s="169"/>
      <c r="BEM44" s="169"/>
      <c r="BEN44" s="169"/>
      <c r="BEO44" s="169"/>
      <c r="BEP44" s="169"/>
      <c r="BEQ44" s="169"/>
      <c r="BER44" s="169"/>
      <c r="BES44" s="169"/>
      <c r="BET44" s="169"/>
      <c r="BEU44" s="169"/>
      <c r="BEV44" s="169"/>
      <c r="BEW44" s="169"/>
      <c r="BEX44" s="169"/>
      <c r="BEY44" s="169"/>
      <c r="BEZ44" s="169"/>
      <c r="BFA44" s="169"/>
      <c r="BFB44" s="169"/>
      <c r="BFC44" s="169"/>
      <c r="BFD44" s="169"/>
      <c r="BFE44" s="169"/>
      <c r="BFF44" s="169"/>
      <c r="BFG44" s="169"/>
      <c r="BFH44" s="169"/>
      <c r="BFI44" s="169"/>
      <c r="BFJ44" s="169"/>
      <c r="BFK44" s="169"/>
      <c r="BFL44" s="169"/>
      <c r="BFM44" s="169"/>
      <c r="BFN44" s="169"/>
      <c r="BFO44" s="169"/>
      <c r="BFP44" s="169"/>
      <c r="BFQ44" s="169"/>
      <c r="BFR44" s="169"/>
      <c r="BFS44" s="169"/>
      <c r="BFT44" s="169"/>
      <c r="BFU44" s="169"/>
      <c r="BFV44" s="169"/>
      <c r="BFW44" s="169"/>
      <c r="BFX44" s="169"/>
      <c r="BFY44" s="169"/>
      <c r="BFZ44" s="169"/>
      <c r="BGA44" s="169"/>
      <c r="BGB44" s="169"/>
      <c r="BGC44" s="169"/>
      <c r="BGD44" s="169"/>
      <c r="BGE44" s="169"/>
      <c r="BGF44" s="169"/>
      <c r="BGG44" s="169"/>
      <c r="BGH44" s="169"/>
      <c r="BGI44" s="169"/>
      <c r="BGJ44" s="169"/>
      <c r="BGK44" s="169"/>
      <c r="BGL44" s="169"/>
      <c r="BGM44" s="169"/>
      <c r="BGN44" s="169"/>
      <c r="BGO44" s="169"/>
      <c r="BGP44" s="169"/>
      <c r="BGQ44" s="169"/>
      <c r="BGR44" s="169"/>
      <c r="BGS44" s="169"/>
      <c r="BGT44" s="169"/>
      <c r="BGU44" s="169"/>
      <c r="BGV44" s="169"/>
      <c r="BGW44" s="169"/>
      <c r="BGX44" s="169"/>
      <c r="BGY44" s="169"/>
      <c r="BGZ44" s="169"/>
      <c r="BHA44" s="169"/>
      <c r="BHB44" s="169"/>
      <c r="BHC44" s="169"/>
      <c r="BHD44" s="169"/>
      <c r="BHE44" s="169"/>
      <c r="BHF44" s="169"/>
      <c r="BHG44" s="169"/>
      <c r="BHH44" s="169"/>
      <c r="BHI44" s="169"/>
      <c r="BHJ44" s="169"/>
      <c r="BHK44" s="169"/>
      <c r="BHL44" s="169"/>
      <c r="BHM44" s="169"/>
      <c r="BHN44" s="169"/>
      <c r="BHO44" s="169"/>
      <c r="BHP44" s="169"/>
      <c r="BHQ44" s="169"/>
      <c r="BHR44" s="169"/>
      <c r="BHS44" s="169"/>
      <c r="BHT44" s="169"/>
      <c r="BHU44" s="169"/>
      <c r="BHV44" s="169"/>
      <c r="BHW44" s="169"/>
      <c r="BHX44" s="169"/>
      <c r="BHY44" s="169"/>
      <c r="BHZ44" s="169"/>
      <c r="BIA44" s="169"/>
      <c r="BIB44" s="169"/>
      <c r="BIC44" s="169"/>
      <c r="BID44" s="169"/>
      <c r="BIE44" s="169"/>
      <c r="BIF44" s="169"/>
      <c r="BIG44" s="169"/>
      <c r="BIH44" s="169"/>
      <c r="BII44" s="169"/>
      <c r="BIJ44" s="169"/>
      <c r="BIK44" s="169"/>
      <c r="BIL44" s="169"/>
      <c r="BIM44" s="169"/>
      <c r="BIN44" s="169"/>
      <c r="BIO44" s="169"/>
      <c r="BIP44" s="169"/>
      <c r="BIQ44" s="169"/>
      <c r="BIR44" s="169"/>
      <c r="BIS44" s="169"/>
      <c r="BIT44" s="169"/>
      <c r="BIU44" s="169"/>
      <c r="BIV44" s="169"/>
      <c r="BIW44" s="169"/>
      <c r="BIX44" s="169"/>
      <c r="BIY44" s="169"/>
      <c r="BIZ44" s="169"/>
      <c r="BJA44" s="169"/>
      <c r="BJB44" s="169"/>
      <c r="BJC44" s="169"/>
      <c r="BJD44" s="169"/>
      <c r="BJE44" s="169"/>
      <c r="BJF44" s="169"/>
      <c r="BJG44" s="169"/>
      <c r="BJH44" s="169"/>
      <c r="BJI44" s="169"/>
      <c r="BJJ44" s="169"/>
      <c r="BJK44" s="169"/>
      <c r="BJL44" s="169"/>
      <c r="BJM44" s="169"/>
      <c r="BJN44" s="169"/>
      <c r="BJO44" s="169"/>
      <c r="BJP44" s="169"/>
      <c r="BJQ44" s="169"/>
      <c r="BJR44" s="169"/>
      <c r="BJS44" s="169"/>
      <c r="BJT44" s="169"/>
      <c r="BJU44" s="169"/>
      <c r="BJV44" s="169"/>
      <c r="BJW44" s="169"/>
      <c r="BJX44" s="169"/>
      <c r="BJY44" s="169"/>
      <c r="BJZ44" s="169"/>
      <c r="BKA44" s="169"/>
      <c r="BKB44" s="169"/>
      <c r="BKC44" s="169"/>
      <c r="BKD44" s="169"/>
      <c r="BKE44" s="169"/>
      <c r="BKF44" s="169"/>
      <c r="BKG44" s="169"/>
      <c r="BKH44" s="169"/>
      <c r="BKI44" s="169"/>
      <c r="BKJ44" s="169"/>
      <c r="BKK44" s="169"/>
      <c r="BKL44" s="169"/>
      <c r="BKM44" s="169"/>
      <c r="BKN44" s="169"/>
      <c r="BKO44" s="169"/>
      <c r="BKP44" s="169"/>
      <c r="BKQ44" s="169"/>
      <c r="BKR44" s="169"/>
      <c r="BKS44" s="169"/>
      <c r="BKT44" s="169"/>
      <c r="BKU44" s="169"/>
      <c r="BKV44" s="169"/>
      <c r="BKW44" s="169"/>
      <c r="BKX44" s="169"/>
      <c r="BKY44" s="169"/>
      <c r="BKZ44" s="169"/>
      <c r="BLA44" s="169"/>
      <c r="BLB44" s="169"/>
      <c r="BLC44" s="169"/>
      <c r="BLD44" s="169"/>
      <c r="BLE44" s="169"/>
      <c r="BLF44" s="169"/>
      <c r="BLG44" s="169"/>
      <c r="BLH44" s="169"/>
      <c r="BLI44" s="169"/>
      <c r="BLJ44" s="169"/>
      <c r="BLK44" s="169"/>
      <c r="BLL44" s="169"/>
      <c r="BLM44" s="169"/>
      <c r="BLN44" s="169"/>
      <c r="BLO44" s="169"/>
      <c r="BLP44" s="169"/>
      <c r="BLQ44" s="169"/>
      <c r="BLR44" s="169"/>
      <c r="BLS44" s="169"/>
      <c r="BLT44" s="169"/>
      <c r="BLU44" s="169"/>
      <c r="BLV44" s="169"/>
      <c r="BLW44" s="169"/>
      <c r="BLX44" s="169"/>
      <c r="BLY44" s="169"/>
      <c r="BLZ44" s="169"/>
      <c r="BMA44" s="169"/>
      <c r="BMB44" s="169"/>
      <c r="BMC44" s="169"/>
      <c r="BMD44" s="169"/>
      <c r="BME44" s="169"/>
      <c r="BMF44" s="169"/>
      <c r="BMG44" s="169"/>
      <c r="BMH44" s="169"/>
      <c r="BMI44" s="169"/>
      <c r="BMJ44" s="169"/>
      <c r="BMK44" s="169"/>
      <c r="BML44" s="169"/>
      <c r="BMM44" s="169"/>
      <c r="BMN44" s="169"/>
      <c r="BMO44" s="169"/>
      <c r="BMP44" s="169"/>
      <c r="BMQ44" s="169"/>
      <c r="BMR44" s="169"/>
      <c r="BMS44" s="169"/>
      <c r="BMT44" s="169"/>
      <c r="BMU44" s="169"/>
      <c r="BMV44" s="169"/>
      <c r="BMW44" s="169"/>
      <c r="BMX44" s="169"/>
      <c r="BMY44" s="169"/>
      <c r="BMZ44" s="169"/>
      <c r="BNA44" s="169"/>
      <c r="BNB44" s="169"/>
      <c r="BNC44" s="169"/>
      <c r="BND44" s="169"/>
      <c r="BNE44" s="169"/>
      <c r="BNF44" s="169"/>
      <c r="BNG44" s="169"/>
      <c r="BNH44" s="169"/>
      <c r="BNI44" s="169"/>
      <c r="BNJ44" s="169"/>
      <c r="BNK44" s="169"/>
      <c r="BNL44" s="169"/>
      <c r="BNM44" s="169"/>
      <c r="BNN44" s="169"/>
      <c r="BNO44" s="169"/>
      <c r="BNP44" s="169"/>
      <c r="BNQ44" s="169"/>
      <c r="BNR44" s="169"/>
      <c r="BNS44" s="169"/>
      <c r="BNT44" s="169"/>
      <c r="BNU44" s="169"/>
      <c r="BNV44" s="169"/>
      <c r="BNW44" s="169"/>
      <c r="BNX44" s="169"/>
      <c r="BNY44" s="169"/>
      <c r="BNZ44" s="169"/>
      <c r="BOA44" s="169"/>
      <c r="BOB44" s="169"/>
      <c r="BOC44" s="169"/>
      <c r="BOD44" s="169"/>
      <c r="BOE44" s="169"/>
      <c r="BOF44" s="169"/>
      <c r="BOG44" s="169"/>
      <c r="BOH44" s="169"/>
      <c r="BOI44" s="169"/>
      <c r="BOJ44" s="169"/>
      <c r="BOK44" s="169"/>
      <c r="BOL44" s="169"/>
      <c r="BOM44" s="169"/>
      <c r="BON44" s="169"/>
      <c r="BOO44" s="169"/>
      <c r="BOP44" s="169"/>
      <c r="BOQ44" s="169"/>
      <c r="BOR44" s="169"/>
      <c r="BOS44" s="169"/>
      <c r="BOT44" s="169"/>
      <c r="BOU44" s="169"/>
      <c r="BOV44" s="169"/>
      <c r="BOW44" s="169"/>
      <c r="BOX44" s="169"/>
      <c r="BOY44" s="169"/>
      <c r="BOZ44" s="169"/>
      <c r="BPA44" s="169"/>
      <c r="BPB44" s="169"/>
      <c r="BPC44" s="169"/>
      <c r="BPD44" s="169"/>
      <c r="BPE44" s="169"/>
      <c r="BPF44" s="169"/>
      <c r="BPG44" s="169"/>
      <c r="BPH44" s="169"/>
      <c r="BPI44" s="169"/>
      <c r="BPJ44" s="169"/>
      <c r="BPK44" s="169"/>
      <c r="BPL44" s="169"/>
      <c r="BPM44" s="169"/>
      <c r="BPN44" s="169"/>
      <c r="BPO44" s="169"/>
      <c r="BPP44" s="169"/>
      <c r="BPQ44" s="169"/>
      <c r="BPR44" s="169"/>
      <c r="BPS44" s="169"/>
      <c r="BPT44" s="169"/>
      <c r="BPU44" s="169"/>
      <c r="BPV44" s="169"/>
      <c r="BPW44" s="169"/>
      <c r="BPX44" s="169"/>
      <c r="BPY44" s="169"/>
      <c r="BPZ44" s="169"/>
      <c r="BQA44" s="169"/>
      <c r="BQB44" s="169"/>
      <c r="BQC44" s="169"/>
      <c r="BQD44" s="169"/>
      <c r="BQE44" s="169"/>
      <c r="BQF44" s="169"/>
      <c r="BQG44" s="169"/>
      <c r="BQH44" s="169"/>
      <c r="BQI44" s="169"/>
      <c r="BQJ44" s="169"/>
      <c r="BQK44" s="169"/>
      <c r="BQL44" s="169"/>
      <c r="BQM44" s="169"/>
      <c r="BQN44" s="169"/>
      <c r="BQO44" s="169"/>
      <c r="BQP44" s="169"/>
      <c r="BQQ44" s="169"/>
      <c r="BQR44" s="169"/>
      <c r="BQS44" s="169"/>
      <c r="BQT44" s="169"/>
      <c r="BQU44" s="169"/>
      <c r="BQV44" s="169"/>
      <c r="BQW44" s="169"/>
      <c r="BQX44" s="169"/>
      <c r="BQY44" s="169"/>
      <c r="BQZ44" s="169"/>
      <c r="BRA44" s="169"/>
      <c r="BRB44" s="169"/>
      <c r="BRC44" s="169"/>
      <c r="BRD44" s="169"/>
      <c r="BRE44" s="169"/>
      <c r="BRF44" s="169"/>
      <c r="BRG44" s="169"/>
      <c r="BRH44" s="169"/>
      <c r="BRI44" s="169"/>
      <c r="BRJ44" s="169"/>
      <c r="BRK44" s="169"/>
      <c r="BRL44" s="169"/>
      <c r="BRM44" s="169"/>
      <c r="BRN44" s="169"/>
      <c r="BRO44" s="169"/>
      <c r="BRP44" s="169"/>
      <c r="BRQ44" s="169"/>
      <c r="BRR44" s="169"/>
      <c r="BRS44" s="169"/>
      <c r="BRT44" s="169"/>
      <c r="BRU44" s="169"/>
      <c r="BRV44" s="169"/>
      <c r="BRW44" s="169"/>
      <c r="BRX44" s="169"/>
      <c r="BRY44" s="169"/>
      <c r="BRZ44" s="169"/>
      <c r="BSA44" s="169"/>
      <c r="BSB44" s="169"/>
      <c r="BSC44" s="169"/>
      <c r="BSD44" s="169"/>
      <c r="BSE44" s="169"/>
      <c r="BSF44" s="169"/>
      <c r="BSG44" s="169"/>
      <c r="BSH44" s="169"/>
      <c r="BSI44" s="169"/>
      <c r="BSJ44" s="169"/>
      <c r="BSK44" s="169"/>
      <c r="BSL44" s="169"/>
      <c r="BSM44" s="169"/>
      <c r="BSN44" s="169"/>
      <c r="BSO44" s="169"/>
      <c r="BSP44" s="169"/>
      <c r="BSQ44" s="169"/>
      <c r="BSR44" s="169"/>
      <c r="BSS44" s="169"/>
      <c r="BST44" s="169"/>
      <c r="BSU44" s="169"/>
      <c r="BSV44" s="169"/>
      <c r="BSW44" s="169"/>
      <c r="BSX44" s="169"/>
      <c r="BSY44" s="169"/>
      <c r="BSZ44" s="169"/>
      <c r="BTA44" s="169"/>
      <c r="BTB44" s="169"/>
      <c r="BTC44" s="169"/>
      <c r="BTD44" s="169"/>
      <c r="BTE44" s="169"/>
      <c r="BTF44" s="169"/>
      <c r="BTG44" s="169"/>
      <c r="BTH44" s="169"/>
      <c r="BTI44" s="169"/>
      <c r="BTJ44" s="169"/>
      <c r="BTK44" s="169"/>
      <c r="BTL44" s="169"/>
      <c r="BTM44" s="169"/>
      <c r="BTN44" s="169"/>
      <c r="BTO44" s="169"/>
      <c r="BTP44" s="169"/>
      <c r="BTQ44" s="169"/>
      <c r="BTR44" s="169"/>
      <c r="BTS44" s="169"/>
      <c r="BTT44" s="169"/>
      <c r="BTU44" s="169"/>
      <c r="BTV44" s="169"/>
      <c r="BTW44" s="169"/>
      <c r="BTX44" s="169"/>
      <c r="BTY44" s="169"/>
      <c r="BTZ44" s="169"/>
      <c r="BUA44" s="169"/>
      <c r="BUB44" s="169"/>
      <c r="BUC44" s="169"/>
      <c r="BUD44" s="169"/>
      <c r="BUE44" s="169"/>
      <c r="BUF44" s="169"/>
      <c r="BUG44" s="169"/>
      <c r="BUH44" s="169"/>
      <c r="BUI44" s="169"/>
      <c r="BUJ44" s="169"/>
      <c r="BUK44" s="169"/>
      <c r="BUL44" s="169"/>
      <c r="BUM44" s="169"/>
      <c r="BUN44" s="169"/>
      <c r="BUO44" s="169"/>
      <c r="BUP44" s="169"/>
      <c r="BUQ44" s="169"/>
      <c r="BUR44" s="169"/>
      <c r="BUS44" s="169"/>
      <c r="BUT44" s="169"/>
      <c r="BUU44" s="169"/>
      <c r="BUV44" s="169"/>
      <c r="BUW44" s="169"/>
      <c r="BUX44" s="169"/>
      <c r="BUY44" s="169"/>
      <c r="BUZ44" s="169"/>
      <c r="BVA44" s="169"/>
      <c r="BVB44" s="169"/>
      <c r="BVC44" s="169"/>
      <c r="BVD44" s="169"/>
      <c r="BVE44" s="169"/>
      <c r="BVF44" s="169"/>
      <c r="BVG44" s="169"/>
      <c r="BVH44" s="169"/>
      <c r="BVI44" s="169"/>
      <c r="BVJ44" s="169"/>
      <c r="BVK44" s="169"/>
      <c r="BVL44" s="169"/>
      <c r="BVM44" s="169"/>
      <c r="BVN44" s="169"/>
      <c r="BVO44" s="169"/>
      <c r="BVP44" s="169"/>
      <c r="BVQ44" s="169"/>
      <c r="BVR44" s="169"/>
      <c r="BVS44" s="169"/>
      <c r="BVT44" s="169"/>
      <c r="BVU44" s="169"/>
      <c r="BVV44" s="169"/>
      <c r="BVW44" s="169"/>
      <c r="BVX44" s="169"/>
      <c r="BVY44" s="169"/>
      <c r="BVZ44" s="169"/>
      <c r="BWA44" s="169"/>
      <c r="BWB44" s="169"/>
      <c r="BWC44" s="169"/>
      <c r="BWD44" s="169"/>
      <c r="BWE44" s="169"/>
      <c r="BWF44" s="169"/>
      <c r="BWG44" s="169"/>
      <c r="BWH44" s="169"/>
      <c r="BWI44" s="169"/>
      <c r="BWJ44" s="169"/>
      <c r="BWK44" s="169"/>
      <c r="BWL44" s="169"/>
      <c r="BWM44" s="169"/>
      <c r="BWN44" s="169"/>
      <c r="BWO44" s="169"/>
      <c r="BWP44" s="169"/>
      <c r="BWQ44" s="169"/>
      <c r="BWR44" s="169"/>
      <c r="BWS44" s="169"/>
      <c r="BWT44" s="169"/>
      <c r="BWU44" s="169"/>
      <c r="BWV44" s="169"/>
      <c r="BWW44" s="169"/>
      <c r="BWX44" s="169"/>
      <c r="BWY44" s="169"/>
      <c r="BWZ44" s="169"/>
      <c r="BXA44" s="169"/>
      <c r="BXB44" s="169"/>
      <c r="BXC44" s="169"/>
      <c r="BXD44" s="169"/>
      <c r="BXE44" s="169"/>
      <c r="BXF44" s="169"/>
      <c r="BXG44" s="169"/>
      <c r="BXH44" s="169"/>
      <c r="BXI44" s="169"/>
      <c r="BXJ44" s="169"/>
      <c r="BXK44" s="169"/>
      <c r="BXL44" s="169"/>
      <c r="BXM44" s="169"/>
      <c r="BXN44" s="169"/>
      <c r="BXO44" s="169"/>
      <c r="BXP44" s="169"/>
      <c r="BXQ44" s="169"/>
      <c r="BXR44" s="169"/>
      <c r="BXS44" s="169"/>
      <c r="BXT44" s="169"/>
      <c r="BXU44" s="169"/>
      <c r="BXV44" s="169"/>
      <c r="BXW44" s="169"/>
      <c r="BXX44" s="169"/>
      <c r="BXY44" s="169"/>
      <c r="BXZ44" s="169"/>
      <c r="BYA44" s="169"/>
      <c r="BYB44" s="169"/>
      <c r="BYC44" s="169"/>
      <c r="BYD44" s="169"/>
      <c r="BYE44" s="169"/>
      <c r="BYF44" s="169"/>
      <c r="BYG44" s="169"/>
    </row>
    <row r="45" spans="1:2009" s="3" customFormat="1" ht="12.75" customHeight="1" thickBot="1" x14ac:dyDescent="0.3">
      <c r="A45" s="72"/>
      <c r="B45" s="9"/>
      <c r="C45" s="137"/>
      <c r="D45" s="137"/>
      <c r="E45" s="137"/>
      <c r="F45" s="137"/>
      <c r="G45" s="525"/>
      <c r="I45" s="26"/>
    </row>
    <row r="46" spans="1:2009" s="87" customFormat="1" ht="24.95" customHeight="1" x14ac:dyDescent="0.25">
      <c r="A46" s="113" t="s">
        <v>267</v>
      </c>
      <c r="B46" s="341"/>
      <c r="C46" s="342"/>
      <c r="D46" s="343"/>
      <c r="E46" s="342"/>
      <c r="F46" s="343"/>
      <c r="G46" s="526"/>
      <c r="H46" s="3"/>
      <c r="I46" s="26"/>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c r="AJY46" s="3"/>
      <c r="AJZ46" s="3"/>
      <c r="AKA46" s="3"/>
      <c r="AKB46" s="3"/>
      <c r="AKC46" s="3"/>
      <c r="AKD46" s="3"/>
      <c r="AKE46" s="3"/>
      <c r="AKF46" s="3"/>
      <c r="AKG46" s="3"/>
      <c r="AKH46" s="3"/>
      <c r="AKI46" s="3"/>
      <c r="AKJ46" s="3"/>
      <c r="AKK46" s="3"/>
      <c r="AKL46" s="3"/>
      <c r="AKM46" s="3"/>
      <c r="AKN46" s="3"/>
      <c r="AKO46" s="3"/>
      <c r="AKP46" s="3"/>
      <c r="AKQ46" s="3"/>
      <c r="AKR46" s="3"/>
      <c r="AKS46" s="3"/>
      <c r="AKT46" s="3"/>
      <c r="AKU46" s="3"/>
      <c r="AKV46" s="3"/>
      <c r="AKW46" s="3"/>
      <c r="AKX46" s="3"/>
      <c r="AKY46" s="3"/>
      <c r="AKZ46" s="3"/>
      <c r="ALA46" s="3"/>
      <c r="ALB46" s="3"/>
      <c r="ALC46" s="3"/>
      <c r="ALD46" s="3"/>
      <c r="ALE46" s="3"/>
      <c r="ALF46" s="3"/>
      <c r="ALG46" s="3"/>
      <c r="ALH46" s="3"/>
      <c r="ALI46" s="3"/>
      <c r="ALJ46" s="3"/>
      <c r="ALK46" s="3"/>
      <c r="ALL46" s="3"/>
      <c r="ALM46" s="3"/>
      <c r="ALN46" s="3"/>
      <c r="ALO46" s="3"/>
      <c r="ALP46" s="3"/>
      <c r="ALQ46" s="3"/>
      <c r="ALR46" s="3"/>
      <c r="ALS46" s="3"/>
      <c r="ALT46" s="3"/>
      <c r="ALU46" s="3"/>
      <c r="ALV46" s="3"/>
      <c r="ALW46" s="3"/>
      <c r="ALX46" s="3"/>
      <c r="ALY46" s="3"/>
      <c r="ALZ46" s="3"/>
      <c r="AMA46" s="3"/>
      <c r="AMB46" s="3"/>
      <c r="AMC46" s="3"/>
      <c r="AMD46" s="3"/>
      <c r="AME46" s="3"/>
      <c r="AMF46" s="3"/>
      <c r="AMG46" s="3"/>
      <c r="AMH46" s="3"/>
      <c r="AMI46" s="3"/>
      <c r="AMJ46" s="3"/>
      <c r="AMK46" s="3"/>
      <c r="AML46" s="3"/>
      <c r="AMM46" s="3"/>
      <c r="AMN46" s="3"/>
      <c r="AMO46" s="3"/>
      <c r="AMP46" s="3"/>
      <c r="AMQ46" s="3"/>
      <c r="AMR46" s="3"/>
      <c r="AMS46" s="3"/>
      <c r="AMT46" s="3"/>
      <c r="AMU46" s="3"/>
      <c r="AMV46" s="3"/>
      <c r="AMW46" s="3"/>
      <c r="AMX46" s="3"/>
      <c r="AMY46" s="3"/>
      <c r="AMZ46" s="3"/>
      <c r="ANA46" s="3"/>
      <c r="ANB46" s="3"/>
      <c r="ANC46" s="3"/>
      <c r="AND46" s="3"/>
      <c r="ANE46" s="3"/>
      <c r="ANF46" s="3"/>
      <c r="ANG46" s="3"/>
      <c r="ANH46" s="3"/>
      <c r="ANI46" s="3"/>
      <c r="ANJ46" s="3"/>
      <c r="ANK46" s="3"/>
      <c r="ANL46" s="3"/>
      <c r="ANM46" s="3"/>
      <c r="ANN46" s="3"/>
      <c r="ANO46" s="3"/>
      <c r="ANP46" s="3"/>
      <c r="ANQ46" s="3"/>
      <c r="ANR46" s="3"/>
      <c r="ANS46" s="3"/>
      <c r="ANT46" s="3"/>
      <c r="ANU46" s="3"/>
      <c r="ANV46" s="3"/>
      <c r="ANW46" s="3"/>
      <c r="ANX46" s="3"/>
      <c r="ANY46" s="3"/>
      <c r="ANZ46" s="3"/>
      <c r="AOA46" s="3"/>
      <c r="AOB46" s="3"/>
      <c r="AOC46" s="3"/>
      <c r="AOD46" s="3"/>
      <c r="AOE46" s="3"/>
      <c r="AOF46" s="3"/>
      <c r="AOG46" s="3"/>
      <c r="AOH46" s="3"/>
      <c r="AOI46" s="3"/>
      <c r="AOJ46" s="3"/>
      <c r="AOK46" s="3"/>
      <c r="AOL46" s="3"/>
      <c r="AOM46" s="3"/>
      <c r="AON46" s="3"/>
      <c r="AOO46" s="3"/>
      <c r="AOP46" s="3"/>
      <c r="AOQ46" s="3"/>
      <c r="AOR46" s="3"/>
      <c r="AOS46" s="3"/>
      <c r="AOT46" s="3"/>
      <c r="AOU46" s="3"/>
      <c r="AOV46" s="3"/>
      <c r="AOW46" s="3"/>
      <c r="AOX46" s="3"/>
      <c r="AOY46" s="3"/>
      <c r="AOZ46" s="3"/>
      <c r="APA46" s="3"/>
      <c r="APB46" s="3"/>
      <c r="APC46" s="3"/>
      <c r="APD46" s="3"/>
      <c r="APE46" s="3"/>
      <c r="APF46" s="3"/>
      <c r="APG46" s="3"/>
      <c r="APH46" s="3"/>
      <c r="API46" s="3"/>
      <c r="APJ46" s="3"/>
      <c r="APK46" s="3"/>
      <c r="APL46" s="3"/>
      <c r="APM46" s="3"/>
      <c r="APN46" s="3"/>
      <c r="APO46" s="3"/>
      <c r="APP46" s="3"/>
      <c r="APQ46" s="3"/>
      <c r="APR46" s="3"/>
      <c r="APS46" s="3"/>
      <c r="APT46" s="3"/>
      <c r="APU46" s="3"/>
      <c r="APV46" s="3"/>
      <c r="APW46" s="3"/>
      <c r="APX46" s="3"/>
      <c r="APY46" s="3"/>
      <c r="APZ46" s="3"/>
      <c r="AQA46" s="3"/>
      <c r="AQB46" s="3"/>
      <c r="AQC46" s="3"/>
      <c r="AQD46" s="3"/>
      <c r="AQE46" s="3"/>
      <c r="AQF46" s="3"/>
      <c r="AQG46" s="3"/>
      <c r="AQH46" s="3"/>
      <c r="AQI46" s="3"/>
      <c r="AQJ46" s="3"/>
      <c r="AQK46" s="3"/>
      <c r="AQL46" s="3"/>
      <c r="AQM46" s="3"/>
      <c r="AQN46" s="3"/>
      <c r="AQO46" s="3"/>
      <c r="AQP46" s="3"/>
      <c r="AQQ46" s="3"/>
      <c r="AQR46" s="3"/>
      <c r="AQS46" s="3"/>
      <c r="AQT46" s="3"/>
      <c r="AQU46" s="3"/>
      <c r="AQV46" s="3"/>
      <c r="AQW46" s="3"/>
      <c r="AQX46" s="3"/>
      <c r="AQY46" s="3"/>
      <c r="AQZ46" s="3"/>
      <c r="ARA46" s="3"/>
      <c r="ARB46" s="3"/>
      <c r="ARC46" s="3"/>
      <c r="ARD46" s="3"/>
      <c r="ARE46" s="3"/>
      <c r="ARF46" s="3"/>
      <c r="ARG46" s="3"/>
      <c r="ARH46" s="3"/>
      <c r="ARI46" s="3"/>
      <c r="ARJ46" s="3"/>
      <c r="ARK46" s="3"/>
      <c r="ARL46" s="3"/>
      <c r="ARM46" s="3"/>
      <c r="ARN46" s="3"/>
      <c r="ARO46" s="3"/>
      <c r="ARP46" s="3"/>
      <c r="ARQ46" s="3"/>
      <c r="ARR46" s="3"/>
      <c r="ARS46" s="3"/>
      <c r="ART46" s="3"/>
      <c r="ARU46" s="3"/>
      <c r="ARV46" s="3"/>
      <c r="ARW46" s="3"/>
      <c r="ARX46" s="3"/>
      <c r="ARY46" s="3"/>
      <c r="ARZ46" s="3"/>
      <c r="ASA46" s="3"/>
      <c r="ASB46" s="3"/>
      <c r="ASC46" s="3"/>
      <c r="ASD46" s="3"/>
      <c r="ASE46" s="3"/>
      <c r="ASF46" s="3"/>
      <c r="ASG46" s="3"/>
      <c r="ASH46" s="3"/>
      <c r="ASI46" s="3"/>
      <c r="ASJ46" s="3"/>
      <c r="ASK46" s="3"/>
      <c r="ASL46" s="3"/>
      <c r="ASM46" s="3"/>
      <c r="ASN46" s="3"/>
      <c r="ASO46" s="3"/>
      <c r="ASP46" s="3"/>
      <c r="ASQ46" s="3"/>
      <c r="ASR46" s="3"/>
      <c r="ASS46" s="3"/>
      <c r="AST46" s="3"/>
      <c r="ASU46" s="3"/>
      <c r="ASV46" s="3"/>
      <c r="ASW46" s="3"/>
      <c r="ASX46" s="3"/>
      <c r="ASY46" s="3"/>
      <c r="ASZ46" s="3"/>
      <c r="ATA46" s="3"/>
      <c r="ATB46" s="3"/>
      <c r="ATC46" s="3"/>
      <c r="ATD46" s="3"/>
      <c r="ATE46" s="3"/>
      <c r="ATF46" s="3"/>
      <c r="ATG46" s="3"/>
      <c r="ATH46" s="3"/>
      <c r="ATI46" s="3"/>
      <c r="ATJ46" s="3"/>
      <c r="ATK46" s="3"/>
      <c r="ATL46" s="3"/>
      <c r="ATM46" s="3"/>
      <c r="ATN46" s="3"/>
      <c r="ATO46" s="3"/>
      <c r="ATP46" s="3"/>
      <c r="ATQ46" s="3"/>
      <c r="ATR46" s="3"/>
      <c r="ATS46" s="3"/>
      <c r="ATT46" s="3"/>
      <c r="ATU46" s="3"/>
      <c r="ATV46" s="3"/>
      <c r="ATW46" s="3"/>
      <c r="ATX46" s="3"/>
      <c r="ATY46" s="3"/>
      <c r="ATZ46" s="3"/>
      <c r="AUA46" s="3"/>
      <c r="AUB46" s="3"/>
      <c r="AUC46" s="3"/>
      <c r="AUD46" s="3"/>
      <c r="AUE46" s="3"/>
      <c r="AUF46" s="3"/>
      <c r="AUG46" s="3"/>
      <c r="AUH46" s="3"/>
      <c r="AUI46" s="3"/>
      <c r="AUJ46" s="3"/>
      <c r="AUK46" s="3"/>
      <c r="AUL46" s="3"/>
      <c r="AUM46" s="3"/>
      <c r="AUN46" s="3"/>
      <c r="AUO46" s="3"/>
      <c r="AUP46" s="3"/>
      <c r="AUQ46" s="3"/>
      <c r="AUR46" s="3"/>
      <c r="AUS46" s="3"/>
      <c r="AUT46" s="3"/>
      <c r="AUU46" s="3"/>
      <c r="AUV46" s="3"/>
      <c r="AUW46" s="3"/>
      <c r="AUX46" s="3"/>
      <c r="AUY46" s="3"/>
      <c r="AUZ46" s="3"/>
      <c r="AVA46" s="3"/>
      <c r="AVB46" s="3"/>
      <c r="AVC46" s="3"/>
      <c r="AVD46" s="3"/>
      <c r="AVE46" s="3"/>
      <c r="AVF46" s="3"/>
      <c r="AVG46" s="3"/>
      <c r="AVH46" s="3"/>
      <c r="AVI46" s="3"/>
      <c r="AVJ46" s="3"/>
      <c r="AVK46" s="3"/>
      <c r="AVL46" s="3"/>
      <c r="AVM46" s="3"/>
      <c r="AVN46" s="3"/>
      <c r="AVO46" s="3"/>
      <c r="AVP46" s="3"/>
      <c r="AVQ46" s="3"/>
      <c r="AVR46" s="3"/>
      <c r="AVS46" s="3"/>
      <c r="AVT46" s="3"/>
      <c r="AVU46" s="3"/>
      <c r="AVV46" s="3"/>
      <c r="AVW46" s="3"/>
      <c r="AVX46" s="3"/>
      <c r="AVY46" s="3"/>
      <c r="AVZ46" s="3"/>
      <c r="AWA46" s="3"/>
      <c r="AWB46" s="3"/>
      <c r="AWC46" s="3"/>
      <c r="AWD46" s="3"/>
      <c r="AWE46" s="3"/>
      <c r="AWF46" s="3"/>
      <c r="AWG46" s="3"/>
      <c r="AWH46" s="3"/>
      <c r="AWI46" s="3"/>
      <c r="AWJ46" s="3"/>
      <c r="AWK46" s="3"/>
      <c r="AWL46" s="3"/>
      <c r="AWM46" s="3"/>
      <c r="AWN46" s="3"/>
      <c r="AWO46" s="3"/>
      <c r="AWP46" s="3"/>
      <c r="AWQ46" s="3"/>
      <c r="AWR46" s="3"/>
      <c r="AWS46" s="3"/>
      <c r="AWT46" s="3"/>
      <c r="AWU46" s="3"/>
      <c r="AWV46" s="3"/>
      <c r="AWW46" s="3"/>
      <c r="AWX46" s="3"/>
      <c r="AWY46" s="3"/>
      <c r="AWZ46" s="3"/>
      <c r="AXA46" s="3"/>
      <c r="AXB46" s="3"/>
      <c r="AXC46" s="3"/>
      <c r="AXD46" s="3"/>
      <c r="AXE46" s="3"/>
      <c r="AXF46" s="3"/>
      <c r="AXG46" s="3"/>
      <c r="AXH46" s="3"/>
      <c r="AXI46" s="3"/>
      <c r="AXJ46" s="3"/>
      <c r="AXK46" s="3"/>
      <c r="AXL46" s="3"/>
      <c r="AXM46" s="3"/>
      <c r="AXN46" s="3"/>
      <c r="AXO46" s="3"/>
      <c r="AXP46" s="3"/>
      <c r="AXQ46" s="3"/>
      <c r="AXR46" s="3"/>
      <c r="AXS46" s="3"/>
      <c r="AXT46" s="3"/>
      <c r="AXU46" s="3"/>
      <c r="AXV46" s="3"/>
      <c r="AXW46" s="3"/>
      <c r="AXX46" s="3"/>
      <c r="AXY46" s="3"/>
      <c r="AXZ46" s="3"/>
      <c r="AYA46" s="3"/>
      <c r="AYB46" s="3"/>
      <c r="AYC46" s="3"/>
      <c r="AYD46" s="3"/>
      <c r="AYE46" s="3"/>
      <c r="AYF46" s="3"/>
      <c r="AYG46" s="3"/>
      <c r="AYH46" s="3"/>
      <c r="AYI46" s="3"/>
      <c r="AYJ46" s="3"/>
      <c r="AYK46" s="3"/>
      <c r="AYL46" s="3"/>
      <c r="AYM46" s="3"/>
      <c r="AYN46" s="3"/>
      <c r="AYO46" s="3"/>
      <c r="AYP46" s="3"/>
      <c r="AYQ46" s="3"/>
      <c r="AYR46" s="3"/>
      <c r="AYS46" s="3"/>
      <c r="AYT46" s="3"/>
      <c r="AYU46" s="3"/>
      <c r="AYV46" s="3"/>
      <c r="AYW46" s="3"/>
      <c r="AYX46" s="3"/>
      <c r="AYY46" s="3"/>
      <c r="AYZ46" s="3"/>
      <c r="AZA46" s="3"/>
      <c r="AZB46" s="3"/>
      <c r="AZC46" s="3"/>
      <c r="AZD46" s="3"/>
      <c r="AZE46" s="3"/>
      <c r="AZF46" s="3"/>
      <c r="AZG46" s="3"/>
      <c r="AZH46" s="3"/>
      <c r="AZI46" s="3"/>
      <c r="AZJ46" s="3"/>
      <c r="AZK46" s="3"/>
      <c r="AZL46" s="3"/>
      <c r="AZM46" s="3"/>
      <c r="AZN46" s="3"/>
      <c r="AZO46" s="3"/>
      <c r="AZP46" s="3"/>
      <c r="AZQ46" s="3"/>
      <c r="AZR46" s="3"/>
      <c r="AZS46" s="3"/>
      <c r="AZT46" s="3"/>
      <c r="AZU46" s="3"/>
      <c r="AZV46" s="3"/>
      <c r="AZW46" s="3"/>
      <c r="AZX46" s="3"/>
      <c r="AZY46" s="3"/>
      <c r="AZZ46" s="3"/>
      <c r="BAA46" s="3"/>
      <c r="BAB46" s="3"/>
      <c r="BAC46" s="3"/>
      <c r="BAD46" s="3"/>
      <c r="BAE46" s="3"/>
      <c r="BAF46" s="3"/>
      <c r="BAG46" s="3"/>
      <c r="BAH46" s="3"/>
      <c r="BAI46" s="3"/>
      <c r="BAJ46" s="3"/>
      <c r="BAK46" s="3"/>
      <c r="BAL46" s="3"/>
      <c r="BAM46" s="3"/>
      <c r="BAN46" s="3"/>
      <c r="BAO46" s="3"/>
      <c r="BAP46" s="3"/>
      <c r="BAQ46" s="3"/>
      <c r="BAR46" s="3"/>
      <c r="BAS46" s="3"/>
      <c r="BAT46" s="3"/>
      <c r="BAU46" s="3"/>
      <c r="BAV46" s="3"/>
      <c r="BAW46" s="3"/>
      <c r="BAX46" s="3"/>
      <c r="BAY46" s="3"/>
      <c r="BAZ46" s="3"/>
      <c r="BBA46" s="3"/>
      <c r="BBB46" s="3"/>
      <c r="BBC46" s="3"/>
      <c r="BBD46" s="3"/>
      <c r="BBE46" s="3"/>
      <c r="BBF46" s="3"/>
      <c r="BBG46" s="3"/>
      <c r="BBH46" s="3"/>
      <c r="BBI46" s="3"/>
      <c r="BBJ46" s="3"/>
      <c r="BBK46" s="3"/>
      <c r="BBL46" s="3"/>
      <c r="BBM46" s="3"/>
      <c r="BBN46" s="3"/>
      <c r="BBO46" s="3"/>
      <c r="BBP46" s="3"/>
      <c r="BBQ46" s="3"/>
      <c r="BBR46" s="3"/>
      <c r="BBS46" s="3"/>
      <c r="BBT46" s="3"/>
      <c r="BBU46" s="3"/>
      <c r="BBV46" s="3"/>
      <c r="BBW46" s="3"/>
      <c r="BBX46" s="3"/>
      <c r="BBY46" s="3"/>
      <c r="BBZ46" s="3"/>
      <c r="BCA46" s="3"/>
      <c r="BCB46" s="3"/>
      <c r="BCC46" s="3"/>
      <c r="BCD46" s="3"/>
      <c r="BCE46" s="3"/>
      <c r="BCF46" s="3"/>
      <c r="BCG46" s="3"/>
      <c r="BCH46" s="3"/>
      <c r="BCI46" s="3"/>
      <c r="BCJ46" s="3"/>
      <c r="BCK46" s="3"/>
      <c r="BCL46" s="3"/>
      <c r="BCM46" s="3"/>
      <c r="BCN46" s="3"/>
      <c r="BCO46" s="3"/>
      <c r="BCP46" s="3"/>
      <c r="BCQ46" s="3"/>
      <c r="BCR46" s="3"/>
      <c r="BCS46" s="3"/>
      <c r="BCT46" s="3"/>
      <c r="BCU46" s="3"/>
      <c r="BCV46" s="3"/>
      <c r="BCW46" s="3"/>
      <c r="BCX46" s="3"/>
      <c r="BCY46" s="3"/>
      <c r="BCZ46" s="3"/>
      <c r="BDA46" s="3"/>
      <c r="BDB46" s="3"/>
      <c r="BDC46" s="3"/>
      <c r="BDD46" s="3"/>
      <c r="BDE46" s="3"/>
      <c r="BDF46" s="3"/>
      <c r="BDG46" s="3"/>
      <c r="BDH46" s="3"/>
      <c r="BDI46" s="3"/>
      <c r="BDJ46" s="3"/>
      <c r="BDK46" s="3"/>
      <c r="BDL46" s="3"/>
      <c r="BDM46" s="3"/>
      <c r="BDN46" s="3"/>
      <c r="BDO46" s="3"/>
      <c r="BDP46" s="3"/>
      <c r="BDQ46" s="3"/>
      <c r="BDR46" s="3"/>
      <c r="BDS46" s="3"/>
      <c r="BDT46" s="3"/>
      <c r="BDU46" s="3"/>
      <c r="BDV46" s="3"/>
      <c r="BDW46" s="3"/>
      <c r="BDX46" s="3"/>
      <c r="BDY46" s="3"/>
      <c r="BDZ46" s="3"/>
      <c r="BEA46" s="3"/>
      <c r="BEB46" s="3"/>
      <c r="BEC46" s="3"/>
      <c r="BED46" s="3"/>
      <c r="BEE46" s="3"/>
      <c r="BEF46" s="3"/>
      <c r="BEG46" s="3"/>
      <c r="BEH46" s="3"/>
      <c r="BEI46" s="3"/>
      <c r="BEJ46" s="3"/>
      <c r="BEK46" s="3"/>
      <c r="BEL46" s="3"/>
      <c r="BEM46" s="3"/>
      <c r="BEN46" s="3"/>
      <c r="BEO46" s="3"/>
      <c r="BEP46" s="3"/>
      <c r="BEQ46" s="3"/>
      <c r="BER46" s="3"/>
      <c r="BES46" s="3"/>
      <c r="BET46" s="3"/>
      <c r="BEU46" s="3"/>
      <c r="BEV46" s="3"/>
      <c r="BEW46" s="3"/>
      <c r="BEX46" s="3"/>
      <c r="BEY46" s="3"/>
      <c r="BEZ46" s="3"/>
      <c r="BFA46" s="3"/>
      <c r="BFB46" s="3"/>
      <c r="BFC46" s="3"/>
      <c r="BFD46" s="3"/>
      <c r="BFE46" s="3"/>
      <c r="BFF46" s="3"/>
      <c r="BFG46" s="3"/>
      <c r="BFH46" s="3"/>
      <c r="BFI46" s="3"/>
      <c r="BFJ46" s="3"/>
      <c r="BFK46" s="3"/>
      <c r="BFL46" s="3"/>
      <c r="BFM46" s="3"/>
      <c r="BFN46" s="3"/>
      <c r="BFO46" s="3"/>
      <c r="BFP46" s="3"/>
      <c r="BFQ46" s="3"/>
      <c r="BFR46" s="3"/>
      <c r="BFS46" s="3"/>
      <c r="BFT46" s="3"/>
      <c r="BFU46" s="3"/>
      <c r="BFV46" s="3"/>
      <c r="BFW46" s="3"/>
      <c r="BFX46" s="3"/>
      <c r="BFY46" s="3"/>
      <c r="BFZ46" s="3"/>
      <c r="BGA46" s="3"/>
      <c r="BGB46" s="3"/>
      <c r="BGC46" s="3"/>
      <c r="BGD46" s="3"/>
      <c r="BGE46" s="3"/>
      <c r="BGF46" s="3"/>
      <c r="BGG46" s="3"/>
      <c r="BGH46" s="3"/>
      <c r="BGI46" s="3"/>
      <c r="BGJ46" s="3"/>
      <c r="BGK46" s="3"/>
      <c r="BGL46" s="3"/>
      <c r="BGM46" s="3"/>
      <c r="BGN46" s="3"/>
      <c r="BGO46" s="3"/>
      <c r="BGP46" s="3"/>
      <c r="BGQ46" s="3"/>
      <c r="BGR46" s="3"/>
      <c r="BGS46" s="3"/>
      <c r="BGT46" s="3"/>
      <c r="BGU46" s="3"/>
      <c r="BGV46" s="3"/>
      <c r="BGW46" s="3"/>
      <c r="BGX46" s="3"/>
      <c r="BGY46" s="3"/>
      <c r="BGZ46" s="3"/>
      <c r="BHA46" s="3"/>
      <c r="BHB46" s="3"/>
      <c r="BHC46" s="3"/>
      <c r="BHD46" s="3"/>
      <c r="BHE46" s="3"/>
      <c r="BHF46" s="3"/>
      <c r="BHG46" s="3"/>
      <c r="BHH46" s="3"/>
      <c r="BHI46" s="3"/>
      <c r="BHJ46" s="3"/>
      <c r="BHK46" s="3"/>
      <c r="BHL46" s="3"/>
      <c r="BHM46" s="3"/>
      <c r="BHN46" s="3"/>
      <c r="BHO46" s="3"/>
      <c r="BHP46" s="3"/>
      <c r="BHQ46" s="3"/>
      <c r="BHR46" s="3"/>
      <c r="BHS46" s="3"/>
      <c r="BHT46" s="3"/>
      <c r="BHU46" s="3"/>
      <c r="BHV46" s="3"/>
      <c r="BHW46" s="3"/>
      <c r="BHX46" s="3"/>
      <c r="BHY46" s="3"/>
      <c r="BHZ46" s="3"/>
      <c r="BIA46" s="3"/>
      <c r="BIB46" s="3"/>
      <c r="BIC46" s="3"/>
      <c r="BID46" s="3"/>
      <c r="BIE46" s="3"/>
      <c r="BIF46" s="3"/>
      <c r="BIG46" s="3"/>
      <c r="BIH46" s="3"/>
      <c r="BII46" s="3"/>
      <c r="BIJ46" s="3"/>
      <c r="BIK46" s="3"/>
      <c r="BIL46" s="3"/>
      <c r="BIM46" s="3"/>
      <c r="BIN46" s="3"/>
      <c r="BIO46" s="3"/>
      <c r="BIP46" s="3"/>
      <c r="BIQ46" s="3"/>
      <c r="BIR46" s="3"/>
      <c r="BIS46" s="3"/>
      <c r="BIT46" s="3"/>
      <c r="BIU46" s="3"/>
      <c r="BIV46" s="3"/>
      <c r="BIW46" s="3"/>
      <c r="BIX46" s="3"/>
      <c r="BIY46" s="3"/>
      <c r="BIZ46" s="3"/>
      <c r="BJA46" s="3"/>
      <c r="BJB46" s="3"/>
      <c r="BJC46" s="3"/>
      <c r="BJD46" s="3"/>
      <c r="BJE46" s="3"/>
      <c r="BJF46" s="3"/>
      <c r="BJG46" s="3"/>
      <c r="BJH46" s="3"/>
      <c r="BJI46" s="3"/>
      <c r="BJJ46" s="3"/>
      <c r="BJK46" s="3"/>
      <c r="BJL46" s="3"/>
      <c r="BJM46" s="3"/>
      <c r="BJN46" s="3"/>
      <c r="BJO46" s="3"/>
      <c r="BJP46" s="3"/>
      <c r="BJQ46" s="3"/>
      <c r="BJR46" s="3"/>
      <c r="BJS46" s="3"/>
      <c r="BJT46" s="3"/>
      <c r="BJU46" s="3"/>
      <c r="BJV46" s="3"/>
      <c r="BJW46" s="3"/>
      <c r="BJX46" s="3"/>
      <c r="BJY46" s="3"/>
      <c r="BJZ46" s="3"/>
      <c r="BKA46" s="3"/>
      <c r="BKB46" s="3"/>
      <c r="BKC46" s="3"/>
      <c r="BKD46" s="3"/>
      <c r="BKE46" s="3"/>
      <c r="BKF46" s="3"/>
      <c r="BKG46" s="3"/>
      <c r="BKH46" s="3"/>
      <c r="BKI46" s="3"/>
      <c r="BKJ46" s="3"/>
      <c r="BKK46" s="3"/>
      <c r="BKL46" s="3"/>
      <c r="BKM46" s="3"/>
      <c r="BKN46" s="3"/>
      <c r="BKO46" s="3"/>
      <c r="BKP46" s="3"/>
      <c r="BKQ46" s="3"/>
      <c r="BKR46" s="3"/>
      <c r="BKS46" s="3"/>
      <c r="BKT46" s="3"/>
      <c r="BKU46" s="3"/>
      <c r="BKV46" s="3"/>
      <c r="BKW46" s="3"/>
      <c r="BKX46" s="3"/>
      <c r="BKY46" s="3"/>
      <c r="BKZ46" s="3"/>
      <c r="BLA46" s="3"/>
      <c r="BLB46" s="3"/>
      <c r="BLC46" s="3"/>
      <c r="BLD46" s="3"/>
      <c r="BLE46" s="3"/>
      <c r="BLF46" s="3"/>
      <c r="BLG46" s="3"/>
      <c r="BLH46" s="3"/>
      <c r="BLI46" s="3"/>
      <c r="BLJ46" s="3"/>
      <c r="BLK46" s="3"/>
      <c r="BLL46" s="3"/>
      <c r="BLM46" s="3"/>
      <c r="BLN46" s="3"/>
      <c r="BLO46" s="3"/>
      <c r="BLP46" s="3"/>
      <c r="BLQ46" s="3"/>
      <c r="BLR46" s="3"/>
      <c r="BLS46" s="3"/>
      <c r="BLT46" s="3"/>
      <c r="BLU46" s="3"/>
      <c r="BLV46" s="3"/>
      <c r="BLW46" s="3"/>
      <c r="BLX46" s="3"/>
      <c r="BLY46" s="3"/>
      <c r="BLZ46" s="3"/>
      <c r="BMA46" s="3"/>
      <c r="BMB46" s="3"/>
      <c r="BMC46" s="3"/>
      <c r="BMD46" s="3"/>
      <c r="BME46" s="3"/>
      <c r="BMF46" s="3"/>
      <c r="BMG46" s="3"/>
      <c r="BMH46" s="3"/>
      <c r="BMI46" s="3"/>
      <c r="BMJ46" s="3"/>
      <c r="BMK46" s="3"/>
      <c r="BML46" s="3"/>
      <c r="BMM46" s="3"/>
      <c r="BMN46" s="3"/>
      <c r="BMO46" s="3"/>
      <c r="BMP46" s="3"/>
      <c r="BMQ46" s="3"/>
      <c r="BMR46" s="3"/>
      <c r="BMS46" s="3"/>
      <c r="BMT46" s="3"/>
      <c r="BMU46" s="3"/>
      <c r="BMV46" s="3"/>
      <c r="BMW46" s="3"/>
      <c r="BMX46" s="3"/>
      <c r="BMY46" s="3"/>
      <c r="BMZ46" s="3"/>
      <c r="BNA46" s="3"/>
      <c r="BNB46" s="3"/>
      <c r="BNC46" s="3"/>
      <c r="BND46" s="3"/>
      <c r="BNE46" s="3"/>
      <c r="BNF46" s="3"/>
      <c r="BNG46" s="3"/>
      <c r="BNH46" s="3"/>
      <c r="BNI46" s="3"/>
      <c r="BNJ46" s="3"/>
      <c r="BNK46" s="3"/>
      <c r="BNL46" s="3"/>
      <c r="BNM46" s="3"/>
      <c r="BNN46" s="3"/>
      <c r="BNO46" s="3"/>
      <c r="BNP46" s="3"/>
      <c r="BNQ46" s="3"/>
      <c r="BNR46" s="3"/>
      <c r="BNS46" s="3"/>
      <c r="BNT46" s="3"/>
      <c r="BNU46" s="3"/>
      <c r="BNV46" s="3"/>
      <c r="BNW46" s="3"/>
      <c r="BNX46" s="3"/>
      <c r="BNY46" s="3"/>
      <c r="BNZ46" s="3"/>
      <c r="BOA46" s="3"/>
      <c r="BOB46" s="3"/>
      <c r="BOC46" s="3"/>
      <c r="BOD46" s="3"/>
      <c r="BOE46" s="3"/>
      <c r="BOF46" s="3"/>
      <c r="BOG46" s="3"/>
      <c r="BOH46" s="3"/>
      <c r="BOI46" s="3"/>
      <c r="BOJ46" s="3"/>
      <c r="BOK46" s="3"/>
      <c r="BOL46" s="3"/>
      <c r="BOM46" s="3"/>
      <c r="BON46" s="3"/>
      <c r="BOO46" s="3"/>
      <c r="BOP46" s="3"/>
      <c r="BOQ46" s="3"/>
      <c r="BOR46" s="3"/>
      <c r="BOS46" s="3"/>
      <c r="BOT46" s="3"/>
      <c r="BOU46" s="3"/>
      <c r="BOV46" s="3"/>
      <c r="BOW46" s="3"/>
      <c r="BOX46" s="3"/>
      <c r="BOY46" s="3"/>
      <c r="BOZ46" s="3"/>
      <c r="BPA46" s="3"/>
      <c r="BPB46" s="3"/>
      <c r="BPC46" s="3"/>
      <c r="BPD46" s="3"/>
      <c r="BPE46" s="3"/>
      <c r="BPF46" s="3"/>
      <c r="BPG46" s="3"/>
      <c r="BPH46" s="3"/>
      <c r="BPI46" s="3"/>
      <c r="BPJ46" s="3"/>
      <c r="BPK46" s="3"/>
      <c r="BPL46" s="3"/>
      <c r="BPM46" s="3"/>
      <c r="BPN46" s="3"/>
      <c r="BPO46" s="3"/>
      <c r="BPP46" s="3"/>
      <c r="BPQ46" s="3"/>
      <c r="BPR46" s="3"/>
      <c r="BPS46" s="3"/>
      <c r="BPT46" s="3"/>
      <c r="BPU46" s="3"/>
      <c r="BPV46" s="3"/>
      <c r="BPW46" s="3"/>
      <c r="BPX46" s="3"/>
      <c r="BPY46" s="3"/>
      <c r="BPZ46" s="3"/>
      <c r="BQA46" s="3"/>
      <c r="BQB46" s="3"/>
      <c r="BQC46" s="3"/>
      <c r="BQD46" s="3"/>
      <c r="BQE46" s="3"/>
      <c r="BQF46" s="3"/>
      <c r="BQG46" s="3"/>
      <c r="BQH46" s="3"/>
      <c r="BQI46" s="3"/>
      <c r="BQJ46" s="3"/>
      <c r="BQK46" s="3"/>
      <c r="BQL46" s="3"/>
      <c r="BQM46" s="3"/>
      <c r="BQN46" s="3"/>
      <c r="BQO46" s="3"/>
      <c r="BQP46" s="3"/>
      <c r="BQQ46" s="3"/>
      <c r="BQR46" s="3"/>
      <c r="BQS46" s="3"/>
      <c r="BQT46" s="3"/>
      <c r="BQU46" s="3"/>
      <c r="BQV46" s="3"/>
      <c r="BQW46" s="3"/>
      <c r="BQX46" s="3"/>
      <c r="BQY46" s="3"/>
      <c r="BQZ46" s="3"/>
      <c r="BRA46" s="3"/>
      <c r="BRB46" s="3"/>
      <c r="BRC46" s="3"/>
      <c r="BRD46" s="3"/>
      <c r="BRE46" s="3"/>
      <c r="BRF46" s="3"/>
      <c r="BRG46" s="3"/>
      <c r="BRH46" s="3"/>
      <c r="BRI46" s="3"/>
      <c r="BRJ46" s="3"/>
      <c r="BRK46" s="3"/>
      <c r="BRL46" s="3"/>
      <c r="BRM46" s="3"/>
      <c r="BRN46" s="3"/>
      <c r="BRO46" s="3"/>
      <c r="BRP46" s="3"/>
      <c r="BRQ46" s="3"/>
      <c r="BRR46" s="3"/>
      <c r="BRS46" s="3"/>
      <c r="BRT46" s="3"/>
      <c r="BRU46" s="3"/>
      <c r="BRV46" s="3"/>
      <c r="BRW46" s="3"/>
      <c r="BRX46" s="3"/>
      <c r="BRY46" s="3"/>
      <c r="BRZ46" s="3"/>
      <c r="BSA46" s="3"/>
      <c r="BSB46" s="3"/>
      <c r="BSC46" s="3"/>
      <c r="BSD46" s="3"/>
      <c r="BSE46" s="3"/>
      <c r="BSF46" s="3"/>
      <c r="BSG46" s="3"/>
      <c r="BSH46" s="3"/>
      <c r="BSI46" s="3"/>
      <c r="BSJ46" s="3"/>
      <c r="BSK46" s="3"/>
      <c r="BSL46" s="3"/>
      <c r="BSM46" s="3"/>
      <c r="BSN46" s="3"/>
      <c r="BSO46" s="3"/>
      <c r="BSP46" s="3"/>
      <c r="BSQ46" s="3"/>
      <c r="BSR46" s="3"/>
      <c r="BSS46" s="3"/>
      <c r="BST46" s="3"/>
      <c r="BSU46" s="3"/>
      <c r="BSV46" s="3"/>
      <c r="BSW46" s="3"/>
      <c r="BSX46" s="3"/>
      <c r="BSY46" s="3"/>
      <c r="BSZ46" s="3"/>
      <c r="BTA46" s="3"/>
      <c r="BTB46" s="3"/>
      <c r="BTC46" s="3"/>
      <c r="BTD46" s="3"/>
      <c r="BTE46" s="3"/>
      <c r="BTF46" s="3"/>
      <c r="BTG46" s="3"/>
      <c r="BTH46" s="3"/>
      <c r="BTI46" s="3"/>
      <c r="BTJ46" s="3"/>
      <c r="BTK46" s="3"/>
      <c r="BTL46" s="3"/>
      <c r="BTM46" s="3"/>
      <c r="BTN46" s="3"/>
      <c r="BTO46" s="3"/>
      <c r="BTP46" s="3"/>
      <c r="BTQ46" s="3"/>
      <c r="BTR46" s="3"/>
      <c r="BTS46" s="3"/>
      <c r="BTT46" s="3"/>
      <c r="BTU46" s="3"/>
      <c r="BTV46" s="3"/>
      <c r="BTW46" s="3"/>
      <c r="BTX46" s="3"/>
      <c r="BTY46" s="3"/>
      <c r="BTZ46" s="3"/>
      <c r="BUA46" s="3"/>
      <c r="BUB46" s="3"/>
      <c r="BUC46" s="3"/>
      <c r="BUD46" s="3"/>
      <c r="BUE46" s="3"/>
      <c r="BUF46" s="3"/>
      <c r="BUG46" s="3"/>
      <c r="BUH46" s="3"/>
      <c r="BUI46" s="3"/>
      <c r="BUJ46" s="3"/>
      <c r="BUK46" s="3"/>
      <c r="BUL46" s="3"/>
      <c r="BUM46" s="3"/>
      <c r="BUN46" s="3"/>
      <c r="BUO46" s="3"/>
      <c r="BUP46" s="3"/>
      <c r="BUQ46" s="3"/>
      <c r="BUR46" s="3"/>
      <c r="BUS46" s="3"/>
      <c r="BUT46" s="3"/>
      <c r="BUU46" s="3"/>
      <c r="BUV46" s="3"/>
      <c r="BUW46" s="3"/>
      <c r="BUX46" s="3"/>
      <c r="BUY46" s="3"/>
      <c r="BUZ46" s="3"/>
      <c r="BVA46" s="3"/>
      <c r="BVB46" s="3"/>
      <c r="BVC46" s="3"/>
      <c r="BVD46" s="3"/>
      <c r="BVE46" s="3"/>
      <c r="BVF46" s="3"/>
      <c r="BVG46" s="3"/>
      <c r="BVH46" s="3"/>
      <c r="BVI46" s="3"/>
      <c r="BVJ46" s="3"/>
      <c r="BVK46" s="3"/>
      <c r="BVL46" s="3"/>
      <c r="BVM46" s="3"/>
      <c r="BVN46" s="3"/>
      <c r="BVO46" s="3"/>
      <c r="BVP46" s="3"/>
      <c r="BVQ46" s="3"/>
      <c r="BVR46" s="3"/>
      <c r="BVS46" s="3"/>
      <c r="BVT46" s="3"/>
      <c r="BVU46" s="3"/>
      <c r="BVV46" s="3"/>
      <c r="BVW46" s="3"/>
      <c r="BVX46" s="3"/>
      <c r="BVY46" s="3"/>
      <c r="BVZ46" s="3"/>
      <c r="BWA46" s="3"/>
      <c r="BWB46" s="3"/>
      <c r="BWC46" s="3"/>
      <c r="BWD46" s="3"/>
      <c r="BWE46" s="3"/>
      <c r="BWF46" s="3"/>
      <c r="BWG46" s="3"/>
      <c r="BWH46" s="3"/>
      <c r="BWI46" s="3"/>
      <c r="BWJ46" s="3"/>
      <c r="BWK46" s="3"/>
      <c r="BWL46" s="3"/>
      <c r="BWM46" s="3"/>
      <c r="BWN46" s="3"/>
      <c r="BWO46" s="3"/>
      <c r="BWP46" s="3"/>
      <c r="BWQ46" s="3"/>
      <c r="BWR46" s="3"/>
      <c r="BWS46" s="3"/>
      <c r="BWT46" s="3"/>
      <c r="BWU46" s="3"/>
      <c r="BWV46" s="3"/>
      <c r="BWW46" s="3"/>
      <c r="BWX46" s="3"/>
      <c r="BWY46" s="3"/>
      <c r="BWZ46" s="3"/>
      <c r="BXA46" s="3"/>
      <c r="BXB46" s="3"/>
      <c r="BXC46" s="3"/>
      <c r="BXD46" s="3"/>
      <c r="BXE46" s="3"/>
      <c r="BXF46" s="3"/>
      <c r="BXG46" s="3"/>
      <c r="BXH46" s="3"/>
      <c r="BXI46" s="3"/>
      <c r="BXJ46" s="3"/>
      <c r="BXK46" s="3"/>
      <c r="BXL46" s="3"/>
      <c r="BXM46" s="3"/>
      <c r="BXN46" s="3"/>
      <c r="BXO46" s="3"/>
      <c r="BXP46" s="3"/>
      <c r="BXQ46" s="3"/>
      <c r="BXR46" s="3"/>
      <c r="BXS46" s="3"/>
      <c r="BXT46" s="3"/>
      <c r="BXU46" s="3"/>
      <c r="BXV46" s="3"/>
      <c r="BXW46" s="3"/>
      <c r="BXX46" s="3"/>
      <c r="BXY46" s="3"/>
      <c r="BXZ46" s="3"/>
      <c r="BYA46" s="3"/>
      <c r="BYB46" s="3"/>
      <c r="BYC46" s="3"/>
      <c r="BYD46" s="3"/>
      <c r="BYE46" s="3"/>
      <c r="BYF46" s="3"/>
      <c r="BYG46" s="3"/>
    </row>
    <row r="47" spans="1:2009" s="87" customFormat="1" ht="24.95" customHeight="1" x14ac:dyDescent="0.25">
      <c r="A47" s="308"/>
      <c r="B47" s="345" t="s">
        <v>670</v>
      </c>
      <c r="C47" s="369">
        <v>461.9</v>
      </c>
      <c r="D47" s="415"/>
      <c r="E47" s="347"/>
      <c r="F47" s="348"/>
      <c r="G47" s="527">
        <f>ROUND(SUM(C47:F47),5)</f>
        <v>461.9</v>
      </c>
      <c r="H47" s="3"/>
      <c r="I47" s="26"/>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c r="AJY47" s="3"/>
      <c r="AJZ47" s="3"/>
      <c r="AKA47" s="3"/>
      <c r="AKB47" s="3"/>
      <c r="AKC47" s="3"/>
      <c r="AKD47" s="3"/>
      <c r="AKE47" s="3"/>
      <c r="AKF47" s="3"/>
      <c r="AKG47" s="3"/>
      <c r="AKH47" s="3"/>
      <c r="AKI47" s="3"/>
      <c r="AKJ47" s="3"/>
      <c r="AKK47" s="3"/>
      <c r="AKL47" s="3"/>
      <c r="AKM47" s="3"/>
      <c r="AKN47" s="3"/>
      <c r="AKO47" s="3"/>
      <c r="AKP47" s="3"/>
      <c r="AKQ47" s="3"/>
      <c r="AKR47" s="3"/>
      <c r="AKS47" s="3"/>
      <c r="AKT47" s="3"/>
      <c r="AKU47" s="3"/>
      <c r="AKV47" s="3"/>
      <c r="AKW47" s="3"/>
      <c r="AKX47" s="3"/>
      <c r="AKY47" s="3"/>
      <c r="AKZ47" s="3"/>
      <c r="ALA47" s="3"/>
      <c r="ALB47" s="3"/>
      <c r="ALC47" s="3"/>
      <c r="ALD47" s="3"/>
      <c r="ALE47" s="3"/>
      <c r="ALF47" s="3"/>
      <c r="ALG47" s="3"/>
      <c r="ALH47" s="3"/>
      <c r="ALI47" s="3"/>
      <c r="ALJ47" s="3"/>
      <c r="ALK47" s="3"/>
      <c r="ALL47" s="3"/>
      <c r="ALM47" s="3"/>
      <c r="ALN47" s="3"/>
      <c r="ALO47" s="3"/>
      <c r="ALP47" s="3"/>
      <c r="ALQ47" s="3"/>
      <c r="ALR47" s="3"/>
      <c r="ALS47" s="3"/>
      <c r="ALT47" s="3"/>
      <c r="ALU47" s="3"/>
      <c r="ALV47" s="3"/>
      <c r="ALW47" s="3"/>
      <c r="ALX47" s="3"/>
      <c r="ALY47" s="3"/>
      <c r="ALZ47" s="3"/>
      <c r="AMA47" s="3"/>
      <c r="AMB47" s="3"/>
      <c r="AMC47" s="3"/>
      <c r="AMD47" s="3"/>
      <c r="AME47" s="3"/>
      <c r="AMF47" s="3"/>
      <c r="AMG47" s="3"/>
      <c r="AMH47" s="3"/>
      <c r="AMI47" s="3"/>
      <c r="AMJ47" s="3"/>
      <c r="AMK47" s="3"/>
      <c r="AML47" s="3"/>
      <c r="AMM47" s="3"/>
      <c r="AMN47" s="3"/>
      <c r="AMO47" s="3"/>
      <c r="AMP47" s="3"/>
      <c r="AMQ47" s="3"/>
      <c r="AMR47" s="3"/>
      <c r="AMS47" s="3"/>
      <c r="AMT47" s="3"/>
      <c r="AMU47" s="3"/>
      <c r="AMV47" s="3"/>
      <c r="AMW47" s="3"/>
      <c r="AMX47" s="3"/>
      <c r="AMY47" s="3"/>
      <c r="AMZ47" s="3"/>
      <c r="ANA47" s="3"/>
      <c r="ANB47" s="3"/>
      <c r="ANC47" s="3"/>
      <c r="AND47" s="3"/>
      <c r="ANE47" s="3"/>
      <c r="ANF47" s="3"/>
      <c r="ANG47" s="3"/>
      <c r="ANH47" s="3"/>
      <c r="ANI47" s="3"/>
      <c r="ANJ47" s="3"/>
      <c r="ANK47" s="3"/>
      <c r="ANL47" s="3"/>
      <c r="ANM47" s="3"/>
      <c r="ANN47" s="3"/>
      <c r="ANO47" s="3"/>
      <c r="ANP47" s="3"/>
      <c r="ANQ47" s="3"/>
      <c r="ANR47" s="3"/>
      <c r="ANS47" s="3"/>
      <c r="ANT47" s="3"/>
      <c r="ANU47" s="3"/>
      <c r="ANV47" s="3"/>
      <c r="ANW47" s="3"/>
      <c r="ANX47" s="3"/>
      <c r="ANY47" s="3"/>
      <c r="ANZ47" s="3"/>
      <c r="AOA47" s="3"/>
      <c r="AOB47" s="3"/>
      <c r="AOC47" s="3"/>
      <c r="AOD47" s="3"/>
      <c r="AOE47" s="3"/>
      <c r="AOF47" s="3"/>
      <c r="AOG47" s="3"/>
      <c r="AOH47" s="3"/>
      <c r="AOI47" s="3"/>
      <c r="AOJ47" s="3"/>
      <c r="AOK47" s="3"/>
      <c r="AOL47" s="3"/>
      <c r="AOM47" s="3"/>
      <c r="AON47" s="3"/>
      <c r="AOO47" s="3"/>
      <c r="AOP47" s="3"/>
      <c r="AOQ47" s="3"/>
      <c r="AOR47" s="3"/>
      <c r="AOS47" s="3"/>
      <c r="AOT47" s="3"/>
      <c r="AOU47" s="3"/>
      <c r="AOV47" s="3"/>
      <c r="AOW47" s="3"/>
      <c r="AOX47" s="3"/>
      <c r="AOY47" s="3"/>
      <c r="AOZ47" s="3"/>
      <c r="APA47" s="3"/>
      <c r="APB47" s="3"/>
      <c r="APC47" s="3"/>
      <c r="APD47" s="3"/>
      <c r="APE47" s="3"/>
      <c r="APF47" s="3"/>
      <c r="APG47" s="3"/>
      <c r="APH47" s="3"/>
      <c r="API47" s="3"/>
      <c r="APJ47" s="3"/>
      <c r="APK47" s="3"/>
      <c r="APL47" s="3"/>
      <c r="APM47" s="3"/>
      <c r="APN47" s="3"/>
      <c r="APO47" s="3"/>
      <c r="APP47" s="3"/>
      <c r="APQ47" s="3"/>
      <c r="APR47" s="3"/>
      <c r="APS47" s="3"/>
      <c r="APT47" s="3"/>
      <c r="APU47" s="3"/>
      <c r="APV47" s="3"/>
      <c r="APW47" s="3"/>
      <c r="APX47" s="3"/>
      <c r="APY47" s="3"/>
      <c r="APZ47" s="3"/>
      <c r="AQA47" s="3"/>
      <c r="AQB47" s="3"/>
      <c r="AQC47" s="3"/>
      <c r="AQD47" s="3"/>
      <c r="AQE47" s="3"/>
      <c r="AQF47" s="3"/>
      <c r="AQG47" s="3"/>
      <c r="AQH47" s="3"/>
      <c r="AQI47" s="3"/>
      <c r="AQJ47" s="3"/>
      <c r="AQK47" s="3"/>
      <c r="AQL47" s="3"/>
      <c r="AQM47" s="3"/>
      <c r="AQN47" s="3"/>
      <c r="AQO47" s="3"/>
      <c r="AQP47" s="3"/>
      <c r="AQQ47" s="3"/>
      <c r="AQR47" s="3"/>
      <c r="AQS47" s="3"/>
      <c r="AQT47" s="3"/>
      <c r="AQU47" s="3"/>
      <c r="AQV47" s="3"/>
      <c r="AQW47" s="3"/>
      <c r="AQX47" s="3"/>
      <c r="AQY47" s="3"/>
      <c r="AQZ47" s="3"/>
      <c r="ARA47" s="3"/>
      <c r="ARB47" s="3"/>
      <c r="ARC47" s="3"/>
      <c r="ARD47" s="3"/>
      <c r="ARE47" s="3"/>
      <c r="ARF47" s="3"/>
      <c r="ARG47" s="3"/>
      <c r="ARH47" s="3"/>
      <c r="ARI47" s="3"/>
      <c r="ARJ47" s="3"/>
      <c r="ARK47" s="3"/>
      <c r="ARL47" s="3"/>
      <c r="ARM47" s="3"/>
      <c r="ARN47" s="3"/>
      <c r="ARO47" s="3"/>
      <c r="ARP47" s="3"/>
      <c r="ARQ47" s="3"/>
      <c r="ARR47" s="3"/>
      <c r="ARS47" s="3"/>
      <c r="ART47" s="3"/>
      <c r="ARU47" s="3"/>
      <c r="ARV47" s="3"/>
      <c r="ARW47" s="3"/>
      <c r="ARX47" s="3"/>
      <c r="ARY47" s="3"/>
      <c r="ARZ47" s="3"/>
      <c r="ASA47" s="3"/>
      <c r="ASB47" s="3"/>
      <c r="ASC47" s="3"/>
      <c r="ASD47" s="3"/>
      <c r="ASE47" s="3"/>
      <c r="ASF47" s="3"/>
      <c r="ASG47" s="3"/>
      <c r="ASH47" s="3"/>
      <c r="ASI47" s="3"/>
      <c r="ASJ47" s="3"/>
      <c r="ASK47" s="3"/>
      <c r="ASL47" s="3"/>
      <c r="ASM47" s="3"/>
      <c r="ASN47" s="3"/>
      <c r="ASO47" s="3"/>
      <c r="ASP47" s="3"/>
      <c r="ASQ47" s="3"/>
      <c r="ASR47" s="3"/>
      <c r="ASS47" s="3"/>
      <c r="AST47" s="3"/>
      <c r="ASU47" s="3"/>
      <c r="ASV47" s="3"/>
      <c r="ASW47" s="3"/>
      <c r="ASX47" s="3"/>
      <c r="ASY47" s="3"/>
      <c r="ASZ47" s="3"/>
      <c r="ATA47" s="3"/>
      <c r="ATB47" s="3"/>
      <c r="ATC47" s="3"/>
      <c r="ATD47" s="3"/>
      <c r="ATE47" s="3"/>
      <c r="ATF47" s="3"/>
      <c r="ATG47" s="3"/>
      <c r="ATH47" s="3"/>
      <c r="ATI47" s="3"/>
      <c r="ATJ47" s="3"/>
      <c r="ATK47" s="3"/>
      <c r="ATL47" s="3"/>
      <c r="ATM47" s="3"/>
      <c r="ATN47" s="3"/>
      <c r="ATO47" s="3"/>
      <c r="ATP47" s="3"/>
      <c r="ATQ47" s="3"/>
      <c r="ATR47" s="3"/>
      <c r="ATS47" s="3"/>
      <c r="ATT47" s="3"/>
      <c r="ATU47" s="3"/>
      <c r="ATV47" s="3"/>
      <c r="ATW47" s="3"/>
      <c r="ATX47" s="3"/>
      <c r="ATY47" s="3"/>
      <c r="ATZ47" s="3"/>
      <c r="AUA47" s="3"/>
      <c r="AUB47" s="3"/>
      <c r="AUC47" s="3"/>
      <c r="AUD47" s="3"/>
      <c r="AUE47" s="3"/>
      <c r="AUF47" s="3"/>
      <c r="AUG47" s="3"/>
      <c r="AUH47" s="3"/>
      <c r="AUI47" s="3"/>
      <c r="AUJ47" s="3"/>
      <c r="AUK47" s="3"/>
      <c r="AUL47" s="3"/>
      <c r="AUM47" s="3"/>
      <c r="AUN47" s="3"/>
      <c r="AUO47" s="3"/>
      <c r="AUP47" s="3"/>
      <c r="AUQ47" s="3"/>
      <c r="AUR47" s="3"/>
      <c r="AUS47" s="3"/>
      <c r="AUT47" s="3"/>
      <c r="AUU47" s="3"/>
      <c r="AUV47" s="3"/>
      <c r="AUW47" s="3"/>
      <c r="AUX47" s="3"/>
      <c r="AUY47" s="3"/>
      <c r="AUZ47" s="3"/>
      <c r="AVA47" s="3"/>
      <c r="AVB47" s="3"/>
      <c r="AVC47" s="3"/>
      <c r="AVD47" s="3"/>
      <c r="AVE47" s="3"/>
      <c r="AVF47" s="3"/>
      <c r="AVG47" s="3"/>
      <c r="AVH47" s="3"/>
      <c r="AVI47" s="3"/>
      <c r="AVJ47" s="3"/>
      <c r="AVK47" s="3"/>
      <c r="AVL47" s="3"/>
      <c r="AVM47" s="3"/>
      <c r="AVN47" s="3"/>
      <c r="AVO47" s="3"/>
      <c r="AVP47" s="3"/>
      <c r="AVQ47" s="3"/>
      <c r="AVR47" s="3"/>
      <c r="AVS47" s="3"/>
      <c r="AVT47" s="3"/>
      <c r="AVU47" s="3"/>
      <c r="AVV47" s="3"/>
      <c r="AVW47" s="3"/>
      <c r="AVX47" s="3"/>
      <c r="AVY47" s="3"/>
      <c r="AVZ47" s="3"/>
      <c r="AWA47" s="3"/>
      <c r="AWB47" s="3"/>
      <c r="AWC47" s="3"/>
      <c r="AWD47" s="3"/>
      <c r="AWE47" s="3"/>
      <c r="AWF47" s="3"/>
      <c r="AWG47" s="3"/>
      <c r="AWH47" s="3"/>
      <c r="AWI47" s="3"/>
      <c r="AWJ47" s="3"/>
      <c r="AWK47" s="3"/>
      <c r="AWL47" s="3"/>
      <c r="AWM47" s="3"/>
      <c r="AWN47" s="3"/>
      <c r="AWO47" s="3"/>
      <c r="AWP47" s="3"/>
      <c r="AWQ47" s="3"/>
      <c r="AWR47" s="3"/>
      <c r="AWS47" s="3"/>
      <c r="AWT47" s="3"/>
      <c r="AWU47" s="3"/>
      <c r="AWV47" s="3"/>
      <c r="AWW47" s="3"/>
      <c r="AWX47" s="3"/>
      <c r="AWY47" s="3"/>
      <c r="AWZ47" s="3"/>
      <c r="AXA47" s="3"/>
      <c r="AXB47" s="3"/>
      <c r="AXC47" s="3"/>
      <c r="AXD47" s="3"/>
      <c r="AXE47" s="3"/>
      <c r="AXF47" s="3"/>
      <c r="AXG47" s="3"/>
      <c r="AXH47" s="3"/>
      <c r="AXI47" s="3"/>
      <c r="AXJ47" s="3"/>
      <c r="AXK47" s="3"/>
      <c r="AXL47" s="3"/>
      <c r="AXM47" s="3"/>
      <c r="AXN47" s="3"/>
      <c r="AXO47" s="3"/>
      <c r="AXP47" s="3"/>
      <c r="AXQ47" s="3"/>
      <c r="AXR47" s="3"/>
      <c r="AXS47" s="3"/>
      <c r="AXT47" s="3"/>
      <c r="AXU47" s="3"/>
      <c r="AXV47" s="3"/>
      <c r="AXW47" s="3"/>
      <c r="AXX47" s="3"/>
      <c r="AXY47" s="3"/>
      <c r="AXZ47" s="3"/>
      <c r="AYA47" s="3"/>
      <c r="AYB47" s="3"/>
      <c r="AYC47" s="3"/>
      <c r="AYD47" s="3"/>
      <c r="AYE47" s="3"/>
      <c r="AYF47" s="3"/>
      <c r="AYG47" s="3"/>
      <c r="AYH47" s="3"/>
      <c r="AYI47" s="3"/>
      <c r="AYJ47" s="3"/>
      <c r="AYK47" s="3"/>
      <c r="AYL47" s="3"/>
      <c r="AYM47" s="3"/>
      <c r="AYN47" s="3"/>
      <c r="AYO47" s="3"/>
      <c r="AYP47" s="3"/>
      <c r="AYQ47" s="3"/>
      <c r="AYR47" s="3"/>
      <c r="AYS47" s="3"/>
      <c r="AYT47" s="3"/>
      <c r="AYU47" s="3"/>
      <c r="AYV47" s="3"/>
      <c r="AYW47" s="3"/>
      <c r="AYX47" s="3"/>
      <c r="AYY47" s="3"/>
      <c r="AYZ47" s="3"/>
      <c r="AZA47" s="3"/>
      <c r="AZB47" s="3"/>
      <c r="AZC47" s="3"/>
      <c r="AZD47" s="3"/>
      <c r="AZE47" s="3"/>
      <c r="AZF47" s="3"/>
      <c r="AZG47" s="3"/>
      <c r="AZH47" s="3"/>
      <c r="AZI47" s="3"/>
      <c r="AZJ47" s="3"/>
      <c r="AZK47" s="3"/>
      <c r="AZL47" s="3"/>
      <c r="AZM47" s="3"/>
      <c r="AZN47" s="3"/>
      <c r="AZO47" s="3"/>
      <c r="AZP47" s="3"/>
      <c r="AZQ47" s="3"/>
      <c r="AZR47" s="3"/>
      <c r="AZS47" s="3"/>
      <c r="AZT47" s="3"/>
      <c r="AZU47" s="3"/>
      <c r="AZV47" s="3"/>
      <c r="AZW47" s="3"/>
      <c r="AZX47" s="3"/>
      <c r="AZY47" s="3"/>
      <c r="AZZ47" s="3"/>
      <c r="BAA47" s="3"/>
      <c r="BAB47" s="3"/>
      <c r="BAC47" s="3"/>
      <c r="BAD47" s="3"/>
      <c r="BAE47" s="3"/>
      <c r="BAF47" s="3"/>
      <c r="BAG47" s="3"/>
      <c r="BAH47" s="3"/>
      <c r="BAI47" s="3"/>
      <c r="BAJ47" s="3"/>
      <c r="BAK47" s="3"/>
      <c r="BAL47" s="3"/>
      <c r="BAM47" s="3"/>
      <c r="BAN47" s="3"/>
      <c r="BAO47" s="3"/>
      <c r="BAP47" s="3"/>
      <c r="BAQ47" s="3"/>
      <c r="BAR47" s="3"/>
      <c r="BAS47" s="3"/>
      <c r="BAT47" s="3"/>
      <c r="BAU47" s="3"/>
      <c r="BAV47" s="3"/>
      <c r="BAW47" s="3"/>
      <c r="BAX47" s="3"/>
      <c r="BAY47" s="3"/>
      <c r="BAZ47" s="3"/>
      <c r="BBA47" s="3"/>
      <c r="BBB47" s="3"/>
      <c r="BBC47" s="3"/>
      <c r="BBD47" s="3"/>
      <c r="BBE47" s="3"/>
      <c r="BBF47" s="3"/>
      <c r="BBG47" s="3"/>
      <c r="BBH47" s="3"/>
      <c r="BBI47" s="3"/>
      <c r="BBJ47" s="3"/>
      <c r="BBK47" s="3"/>
      <c r="BBL47" s="3"/>
      <c r="BBM47" s="3"/>
      <c r="BBN47" s="3"/>
      <c r="BBO47" s="3"/>
      <c r="BBP47" s="3"/>
      <c r="BBQ47" s="3"/>
      <c r="BBR47" s="3"/>
      <c r="BBS47" s="3"/>
      <c r="BBT47" s="3"/>
      <c r="BBU47" s="3"/>
      <c r="BBV47" s="3"/>
      <c r="BBW47" s="3"/>
      <c r="BBX47" s="3"/>
      <c r="BBY47" s="3"/>
      <c r="BBZ47" s="3"/>
      <c r="BCA47" s="3"/>
      <c r="BCB47" s="3"/>
      <c r="BCC47" s="3"/>
      <c r="BCD47" s="3"/>
      <c r="BCE47" s="3"/>
      <c r="BCF47" s="3"/>
      <c r="BCG47" s="3"/>
      <c r="BCH47" s="3"/>
      <c r="BCI47" s="3"/>
      <c r="BCJ47" s="3"/>
      <c r="BCK47" s="3"/>
      <c r="BCL47" s="3"/>
      <c r="BCM47" s="3"/>
      <c r="BCN47" s="3"/>
      <c r="BCO47" s="3"/>
      <c r="BCP47" s="3"/>
      <c r="BCQ47" s="3"/>
      <c r="BCR47" s="3"/>
      <c r="BCS47" s="3"/>
      <c r="BCT47" s="3"/>
      <c r="BCU47" s="3"/>
      <c r="BCV47" s="3"/>
      <c r="BCW47" s="3"/>
      <c r="BCX47" s="3"/>
      <c r="BCY47" s="3"/>
      <c r="BCZ47" s="3"/>
      <c r="BDA47" s="3"/>
      <c r="BDB47" s="3"/>
      <c r="BDC47" s="3"/>
      <c r="BDD47" s="3"/>
      <c r="BDE47" s="3"/>
      <c r="BDF47" s="3"/>
      <c r="BDG47" s="3"/>
      <c r="BDH47" s="3"/>
      <c r="BDI47" s="3"/>
      <c r="BDJ47" s="3"/>
      <c r="BDK47" s="3"/>
      <c r="BDL47" s="3"/>
      <c r="BDM47" s="3"/>
      <c r="BDN47" s="3"/>
      <c r="BDO47" s="3"/>
      <c r="BDP47" s="3"/>
      <c r="BDQ47" s="3"/>
      <c r="BDR47" s="3"/>
      <c r="BDS47" s="3"/>
      <c r="BDT47" s="3"/>
      <c r="BDU47" s="3"/>
      <c r="BDV47" s="3"/>
      <c r="BDW47" s="3"/>
      <c r="BDX47" s="3"/>
      <c r="BDY47" s="3"/>
      <c r="BDZ47" s="3"/>
      <c r="BEA47" s="3"/>
      <c r="BEB47" s="3"/>
      <c r="BEC47" s="3"/>
      <c r="BED47" s="3"/>
      <c r="BEE47" s="3"/>
      <c r="BEF47" s="3"/>
      <c r="BEG47" s="3"/>
      <c r="BEH47" s="3"/>
      <c r="BEI47" s="3"/>
      <c r="BEJ47" s="3"/>
      <c r="BEK47" s="3"/>
      <c r="BEL47" s="3"/>
      <c r="BEM47" s="3"/>
      <c r="BEN47" s="3"/>
      <c r="BEO47" s="3"/>
      <c r="BEP47" s="3"/>
      <c r="BEQ47" s="3"/>
      <c r="BER47" s="3"/>
      <c r="BES47" s="3"/>
      <c r="BET47" s="3"/>
      <c r="BEU47" s="3"/>
      <c r="BEV47" s="3"/>
      <c r="BEW47" s="3"/>
      <c r="BEX47" s="3"/>
      <c r="BEY47" s="3"/>
      <c r="BEZ47" s="3"/>
      <c r="BFA47" s="3"/>
      <c r="BFB47" s="3"/>
      <c r="BFC47" s="3"/>
      <c r="BFD47" s="3"/>
      <c r="BFE47" s="3"/>
      <c r="BFF47" s="3"/>
      <c r="BFG47" s="3"/>
      <c r="BFH47" s="3"/>
      <c r="BFI47" s="3"/>
      <c r="BFJ47" s="3"/>
      <c r="BFK47" s="3"/>
      <c r="BFL47" s="3"/>
      <c r="BFM47" s="3"/>
      <c r="BFN47" s="3"/>
      <c r="BFO47" s="3"/>
      <c r="BFP47" s="3"/>
      <c r="BFQ47" s="3"/>
      <c r="BFR47" s="3"/>
      <c r="BFS47" s="3"/>
      <c r="BFT47" s="3"/>
      <c r="BFU47" s="3"/>
      <c r="BFV47" s="3"/>
      <c r="BFW47" s="3"/>
      <c r="BFX47" s="3"/>
      <c r="BFY47" s="3"/>
      <c r="BFZ47" s="3"/>
      <c r="BGA47" s="3"/>
      <c r="BGB47" s="3"/>
      <c r="BGC47" s="3"/>
      <c r="BGD47" s="3"/>
      <c r="BGE47" s="3"/>
      <c r="BGF47" s="3"/>
      <c r="BGG47" s="3"/>
      <c r="BGH47" s="3"/>
      <c r="BGI47" s="3"/>
      <c r="BGJ47" s="3"/>
      <c r="BGK47" s="3"/>
      <c r="BGL47" s="3"/>
      <c r="BGM47" s="3"/>
      <c r="BGN47" s="3"/>
      <c r="BGO47" s="3"/>
      <c r="BGP47" s="3"/>
      <c r="BGQ47" s="3"/>
      <c r="BGR47" s="3"/>
      <c r="BGS47" s="3"/>
      <c r="BGT47" s="3"/>
      <c r="BGU47" s="3"/>
      <c r="BGV47" s="3"/>
      <c r="BGW47" s="3"/>
      <c r="BGX47" s="3"/>
      <c r="BGY47" s="3"/>
      <c r="BGZ47" s="3"/>
      <c r="BHA47" s="3"/>
      <c r="BHB47" s="3"/>
      <c r="BHC47" s="3"/>
      <c r="BHD47" s="3"/>
      <c r="BHE47" s="3"/>
      <c r="BHF47" s="3"/>
      <c r="BHG47" s="3"/>
      <c r="BHH47" s="3"/>
      <c r="BHI47" s="3"/>
      <c r="BHJ47" s="3"/>
      <c r="BHK47" s="3"/>
      <c r="BHL47" s="3"/>
      <c r="BHM47" s="3"/>
      <c r="BHN47" s="3"/>
      <c r="BHO47" s="3"/>
      <c r="BHP47" s="3"/>
      <c r="BHQ47" s="3"/>
      <c r="BHR47" s="3"/>
      <c r="BHS47" s="3"/>
      <c r="BHT47" s="3"/>
      <c r="BHU47" s="3"/>
      <c r="BHV47" s="3"/>
      <c r="BHW47" s="3"/>
      <c r="BHX47" s="3"/>
      <c r="BHY47" s="3"/>
      <c r="BHZ47" s="3"/>
      <c r="BIA47" s="3"/>
      <c r="BIB47" s="3"/>
      <c r="BIC47" s="3"/>
      <c r="BID47" s="3"/>
      <c r="BIE47" s="3"/>
      <c r="BIF47" s="3"/>
      <c r="BIG47" s="3"/>
      <c r="BIH47" s="3"/>
      <c r="BII47" s="3"/>
      <c r="BIJ47" s="3"/>
      <c r="BIK47" s="3"/>
      <c r="BIL47" s="3"/>
      <c r="BIM47" s="3"/>
      <c r="BIN47" s="3"/>
      <c r="BIO47" s="3"/>
      <c r="BIP47" s="3"/>
      <c r="BIQ47" s="3"/>
      <c r="BIR47" s="3"/>
      <c r="BIS47" s="3"/>
      <c r="BIT47" s="3"/>
      <c r="BIU47" s="3"/>
      <c r="BIV47" s="3"/>
      <c r="BIW47" s="3"/>
      <c r="BIX47" s="3"/>
      <c r="BIY47" s="3"/>
      <c r="BIZ47" s="3"/>
      <c r="BJA47" s="3"/>
      <c r="BJB47" s="3"/>
      <c r="BJC47" s="3"/>
      <c r="BJD47" s="3"/>
      <c r="BJE47" s="3"/>
      <c r="BJF47" s="3"/>
      <c r="BJG47" s="3"/>
      <c r="BJH47" s="3"/>
      <c r="BJI47" s="3"/>
      <c r="BJJ47" s="3"/>
      <c r="BJK47" s="3"/>
      <c r="BJL47" s="3"/>
      <c r="BJM47" s="3"/>
      <c r="BJN47" s="3"/>
      <c r="BJO47" s="3"/>
      <c r="BJP47" s="3"/>
      <c r="BJQ47" s="3"/>
      <c r="BJR47" s="3"/>
      <c r="BJS47" s="3"/>
      <c r="BJT47" s="3"/>
      <c r="BJU47" s="3"/>
      <c r="BJV47" s="3"/>
      <c r="BJW47" s="3"/>
      <c r="BJX47" s="3"/>
      <c r="BJY47" s="3"/>
      <c r="BJZ47" s="3"/>
      <c r="BKA47" s="3"/>
      <c r="BKB47" s="3"/>
      <c r="BKC47" s="3"/>
      <c r="BKD47" s="3"/>
      <c r="BKE47" s="3"/>
      <c r="BKF47" s="3"/>
      <c r="BKG47" s="3"/>
      <c r="BKH47" s="3"/>
      <c r="BKI47" s="3"/>
      <c r="BKJ47" s="3"/>
      <c r="BKK47" s="3"/>
      <c r="BKL47" s="3"/>
      <c r="BKM47" s="3"/>
      <c r="BKN47" s="3"/>
      <c r="BKO47" s="3"/>
      <c r="BKP47" s="3"/>
      <c r="BKQ47" s="3"/>
      <c r="BKR47" s="3"/>
      <c r="BKS47" s="3"/>
      <c r="BKT47" s="3"/>
      <c r="BKU47" s="3"/>
      <c r="BKV47" s="3"/>
      <c r="BKW47" s="3"/>
      <c r="BKX47" s="3"/>
      <c r="BKY47" s="3"/>
      <c r="BKZ47" s="3"/>
      <c r="BLA47" s="3"/>
      <c r="BLB47" s="3"/>
      <c r="BLC47" s="3"/>
      <c r="BLD47" s="3"/>
      <c r="BLE47" s="3"/>
      <c r="BLF47" s="3"/>
      <c r="BLG47" s="3"/>
      <c r="BLH47" s="3"/>
      <c r="BLI47" s="3"/>
      <c r="BLJ47" s="3"/>
      <c r="BLK47" s="3"/>
      <c r="BLL47" s="3"/>
      <c r="BLM47" s="3"/>
      <c r="BLN47" s="3"/>
      <c r="BLO47" s="3"/>
      <c r="BLP47" s="3"/>
      <c r="BLQ47" s="3"/>
      <c r="BLR47" s="3"/>
      <c r="BLS47" s="3"/>
      <c r="BLT47" s="3"/>
      <c r="BLU47" s="3"/>
      <c r="BLV47" s="3"/>
      <c r="BLW47" s="3"/>
      <c r="BLX47" s="3"/>
      <c r="BLY47" s="3"/>
      <c r="BLZ47" s="3"/>
      <c r="BMA47" s="3"/>
      <c r="BMB47" s="3"/>
      <c r="BMC47" s="3"/>
      <c r="BMD47" s="3"/>
      <c r="BME47" s="3"/>
      <c r="BMF47" s="3"/>
      <c r="BMG47" s="3"/>
      <c r="BMH47" s="3"/>
      <c r="BMI47" s="3"/>
      <c r="BMJ47" s="3"/>
      <c r="BMK47" s="3"/>
      <c r="BML47" s="3"/>
      <c r="BMM47" s="3"/>
      <c r="BMN47" s="3"/>
      <c r="BMO47" s="3"/>
      <c r="BMP47" s="3"/>
      <c r="BMQ47" s="3"/>
      <c r="BMR47" s="3"/>
      <c r="BMS47" s="3"/>
      <c r="BMT47" s="3"/>
      <c r="BMU47" s="3"/>
      <c r="BMV47" s="3"/>
      <c r="BMW47" s="3"/>
      <c r="BMX47" s="3"/>
      <c r="BMY47" s="3"/>
      <c r="BMZ47" s="3"/>
      <c r="BNA47" s="3"/>
      <c r="BNB47" s="3"/>
      <c r="BNC47" s="3"/>
      <c r="BND47" s="3"/>
      <c r="BNE47" s="3"/>
      <c r="BNF47" s="3"/>
      <c r="BNG47" s="3"/>
      <c r="BNH47" s="3"/>
      <c r="BNI47" s="3"/>
      <c r="BNJ47" s="3"/>
      <c r="BNK47" s="3"/>
      <c r="BNL47" s="3"/>
      <c r="BNM47" s="3"/>
      <c r="BNN47" s="3"/>
      <c r="BNO47" s="3"/>
      <c r="BNP47" s="3"/>
      <c r="BNQ47" s="3"/>
      <c r="BNR47" s="3"/>
      <c r="BNS47" s="3"/>
      <c r="BNT47" s="3"/>
      <c r="BNU47" s="3"/>
      <c r="BNV47" s="3"/>
      <c r="BNW47" s="3"/>
      <c r="BNX47" s="3"/>
      <c r="BNY47" s="3"/>
      <c r="BNZ47" s="3"/>
      <c r="BOA47" s="3"/>
      <c r="BOB47" s="3"/>
      <c r="BOC47" s="3"/>
      <c r="BOD47" s="3"/>
      <c r="BOE47" s="3"/>
      <c r="BOF47" s="3"/>
      <c r="BOG47" s="3"/>
      <c r="BOH47" s="3"/>
      <c r="BOI47" s="3"/>
      <c r="BOJ47" s="3"/>
      <c r="BOK47" s="3"/>
      <c r="BOL47" s="3"/>
      <c r="BOM47" s="3"/>
      <c r="BON47" s="3"/>
      <c r="BOO47" s="3"/>
      <c r="BOP47" s="3"/>
      <c r="BOQ47" s="3"/>
      <c r="BOR47" s="3"/>
      <c r="BOS47" s="3"/>
      <c r="BOT47" s="3"/>
      <c r="BOU47" s="3"/>
      <c r="BOV47" s="3"/>
      <c r="BOW47" s="3"/>
      <c r="BOX47" s="3"/>
      <c r="BOY47" s="3"/>
      <c r="BOZ47" s="3"/>
      <c r="BPA47" s="3"/>
      <c r="BPB47" s="3"/>
      <c r="BPC47" s="3"/>
      <c r="BPD47" s="3"/>
      <c r="BPE47" s="3"/>
      <c r="BPF47" s="3"/>
      <c r="BPG47" s="3"/>
      <c r="BPH47" s="3"/>
      <c r="BPI47" s="3"/>
      <c r="BPJ47" s="3"/>
      <c r="BPK47" s="3"/>
      <c r="BPL47" s="3"/>
      <c r="BPM47" s="3"/>
      <c r="BPN47" s="3"/>
      <c r="BPO47" s="3"/>
      <c r="BPP47" s="3"/>
      <c r="BPQ47" s="3"/>
      <c r="BPR47" s="3"/>
      <c r="BPS47" s="3"/>
      <c r="BPT47" s="3"/>
      <c r="BPU47" s="3"/>
      <c r="BPV47" s="3"/>
      <c r="BPW47" s="3"/>
      <c r="BPX47" s="3"/>
      <c r="BPY47" s="3"/>
      <c r="BPZ47" s="3"/>
      <c r="BQA47" s="3"/>
      <c r="BQB47" s="3"/>
      <c r="BQC47" s="3"/>
      <c r="BQD47" s="3"/>
      <c r="BQE47" s="3"/>
      <c r="BQF47" s="3"/>
      <c r="BQG47" s="3"/>
      <c r="BQH47" s="3"/>
      <c r="BQI47" s="3"/>
      <c r="BQJ47" s="3"/>
      <c r="BQK47" s="3"/>
      <c r="BQL47" s="3"/>
      <c r="BQM47" s="3"/>
      <c r="BQN47" s="3"/>
      <c r="BQO47" s="3"/>
      <c r="BQP47" s="3"/>
      <c r="BQQ47" s="3"/>
      <c r="BQR47" s="3"/>
      <c r="BQS47" s="3"/>
      <c r="BQT47" s="3"/>
      <c r="BQU47" s="3"/>
      <c r="BQV47" s="3"/>
      <c r="BQW47" s="3"/>
      <c r="BQX47" s="3"/>
      <c r="BQY47" s="3"/>
      <c r="BQZ47" s="3"/>
      <c r="BRA47" s="3"/>
      <c r="BRB47" s="3"/>
      <c r="BRC47" s="3"/>
      <c r="BRD47" s="3"/>
      <c r="BRE47" s="3"/>
      <c r="BRF47" s="3"/>
      <c r="BRG47" s="3"/>
      <c r="BRH47" s="3"/>
      <c r="BRI47" s="3"/>
      <c r="BRJ47" s="3"/>
      <c r="BRK47" s="3"/>
      <c r="BRL47" s="3"/>
      <c r="BRM47" s="3"/>
      <c r="BRN47" s="3"/>
      <c r="BRO47" s="3"/>
      <c r="BRP47" s="3"/>
      <c r="BRQ47" s="3"/>
      <c r="BRR47" s="3"/>
      <c r="BRS47" s="3"/>
      <c r="BRT47" s="3"/>
      <c r="BRU47" s="3"/>
      <c r="BRV47" s="3"/>
      <c r="BRW47" s="3"/>
      <c r="BRX47" s="3"/>
      <c r="BRY47" s="3"/>
      <c r="BRZ47" s="3"/>
      <c r="BSA47" s="3"/>
      <c r="BSB47" s="3"/>
      <c r="BSC47" s="3"/>
      <c r="BSD47" s="3"/>
      <c r="BSE47" s="3"/>
      <c r="BSF47" s="3"/>
      <c r="BSG47" s="3"/>
      <c r="BSH47" s="3"/>
      <c r="BSI47" s="3"/>
      <c r="BSJ47" s="3"/>
      <c r="BSK47" s="3"/>
      <c r="BSL47" s="3"/>
      <c r="BSM47" s="3"/>
      <c r="BSN47" s="3"/>
      <c r="BSO47" s="3"/>
      <c r="BSP47" s="3"/>
      <c r="BSQ47" s="3"/>
      <c r="BSR47" s="3"/>
      <c r="BSS47" s="3"/>
      <c r="BST47" s="3"/>
      <c r="BSU47" s="3"/>
      <c r="BSV47" s="3"/>
      <c r="BSW47" s="3"/>
      <c r="BSX47" s="3"/>
      <c r="BSY47" s="3"/>
      <c r="BSZ47" s="3"/>
      <c r="BTA47" s="3"/>
      <c r="BTB47" s="3"/>
      <c r="BTC47" s="3"/>
      <c r="BTD47" s="3"/>
      <c r="BTE47" s="3"/>
      <c r="BTF47" s="3"/>
      <c r="BTG47" s="3"/>
      <c r="BTH47" s="3"/>
      <c r="BTI47" s="3"/>
      <c r="BTJ47" s="3"/>
      <c r="BTK47" s="3"/>
      <c r="BTL47" s="3"/>
      <c r="BTM47" s="3"/>
      <c r="BTN47" s="3"/>
      <c r="BTO47" s="3"/>
      <c r="BTP47" s="3"/>
      <c r="BTQ47" s="3"/>
      <c r="BTR47" s="3"/>
      <c r="BTS47" s="3"/>
      <c r="BTT47" s="3"/>
      <c r="BTU47" s="3"/>
      <c r="BTV47" s="3"/>
      <c r="BTW47" s="3"/>
      <c r="BTX47" s="3"/>
      <c r="BTY47" s="3"/>
      <c r="BTZ47" s="3"/>
      <c r="BUA47" s="3"/>
      <c r="BUB47" s="3"/>
      <c r="BUC47" s="3"/>
      <c r="BUD47" s="3"/>
      <c r="BUE47" s="3"/>
      <c r="BUF47" s="3"/>
      <c r="BUG47" s="3"/>
      <c r="BUH47" s="3"/>
      <c r="BUI47" s="3"/>
      <c r="BUJ47" s="3"/>
      <c r="BUK47" s="3"/>
      <c r="BUL47" s="3"/>
      <c r="BUM47" s="3"/>
      <c r="BUN47" s="3"/>
      <c r="BUO47" s="3"/>
      <c r="BUP47" s="3"/>
      <c r="BUQ47" s="3"/>
      <c r="BUR47" s="3"/>
      <c r="BUS47" s="3"/>
      <c r="BUT47" s="3"/>
      <c r="BUU47" s="3"/>
      <c r="BUV47" s="3"/>
      <c r="BUW47" s="3"/>
      <c r="BUX47" s="3"/>
      <c r="BUY47" s="3"/>
      <c r="BUZ47" s="3"/>
      <c r="BVA47" s="3"/>
      <c r="BVB47" s="3"/>
      <c r="BVC47" s="3"/>
      <c r="BVD47" s="3"/>
      <c r="BVE47" s="3"/>
      <c r="BVF47" s="3"/>
      <c r="BVG47" s="3"/>
      <c r="BVH47" s="3"/>
      <c r="BVI47" s="3"/>
      <c r="BVJ47" s="3"/>
      <c r="BVK47" s="3"/>
      <c r="BVL47" s="3"/>
      <c r="BVM47" s="3"/>
      <c r="BVN47" s="3"/>
      <c r="BVO47" s="3"/>
      <c r="BVP47" s="3"/>
      <c r="BVQ47" s="3"/>
      <c r="BVR47" s="3"/>
      <c r="BVS47" s="3"/>
      <c r="BVT47" s="3"/>
      <c r="BVU47" s="3"/>
      <c r="BVV47" s="3"/>
      <c r="BVW47" s="3"/>
      <c r="BVX47" s="3"/>
      <c r="BVY47" s="3"/>
      <c r="BVZ47" s="3"/>
      <c r="BWA47" s="3"/>
      <c r="BWB47" s="3"/>
      <c r="BWC47" s="3"/>
      <c r="BWD47" s="3"/>
      <c r="BWE47" s="3"/>
      <c r="BWF47" s="3"/>
      <c r="BWG47" s="3"/>
      <c r="BWH47" s="3"/>
      <c r="BWI47" s="3"/>
      <c r="BWJ47" s="3"/>
      <c r="BWK47" s="3"/>
      <c r="BWL47" s="3"/>
      <c r="BWM47" s="3"/>
      <c r="BWN47" s="3"/>
      <c r="BWO47" s="3"/>
      <c r="BWP47" s="3"/>
      <c r="BWQ47" s="3"/>
      <c r="BWR47" s="3"/>
      <c r="BWS47" s="3"/>
      <c r="BWT47" s="3"/>
      <c r="BWU47" s="3"/>
      <c r="BWV47" s="3"/>
      <c r="BWW47" s="3"/>
      <c r="BWX47" s="3"/>
      <c r="BWY47" s="3"/>
      <c r="BWZ47" s="3"/>
      <c r="BXA47" s="3"/>
      <c r="BXB47" s="3"/>
      <c r="BXC47" s="3"/>
      <c r="BXD47" s="3"/>
      <c r="BXE47" s="3"/>
      <c r="BXF47" s="3"/>
      <c r="BXG47" s="3"/>
      <c r="BXH47" s="3"/>
      <c r="BXI47" s="3"/>
      <c r="BXJ47" s="3"/>
      <c r="BXK47" s="3"/>
      <c r="BXL47" s="3"/>
      <c r="BXM47" s="3"/>
      <c r="BXN47" s="3"/>
      <c r="BXO47" s="3"/>
      <c r="BXP47" s="3"/>
      <c r="BXQ47" s="3"/>
      <c r="BXR47" s="3"/>
      <c r="BXS47" s="3"/>
      <c r="BXT47" s="3"/>
      <c r="BXU47" s="3"/>
      <c r="BXV47" s="3"/>
      <c r="BXW47" s="3"/>
      <c r="BXX47" s="3"/>
      <c r="BXY47" s="3"/>
      <c r="BXZ47" s="3"/>
      <c r="BYA47" s="3"/>
      <c r="BYB47" s="3"/>
      <c r="BYC47" s="3"/>
      <c r="BYD47" s="3"/>
      <c r="BYE47" s="3"/>
      <c r="BYF47" s="3"/>
      <c r="BYG47" s="3"/>
    </row>
    <row r="48" spans="1:2009" s="87" customFormat="1" ht="24.75" hidden="1" customHeight="1" x14ac:dyDescent="0.25">
      <c r="A48" s="308"/>
      <c r="B48" s="345" t="s">
        <v>531</v>
      </c>
      <c r="C48" s="369"/>
      <c r="D48" s="415"/>
      <c r="E48" s="369"/>
      <c r="F48" s="415"/>
      <c r="G48" s="527">
        <f>SUM(C48:F48)</f>
        <v>0</v>
      </c>
      <c r="H48" s="3"/>
      <c r="I48" s="26"/>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c r="AJY48" s="3"/>
      <c r="AJZ48" s="3"/>
      <c r="AKA48" s="3"/>
      <c r="AKB48" s="3"/>
      <c r="AKC48" s="3"/>
      <c r="AKD48" s="3"/>
      <c r="AKE48" s="3"/>
      <c r="AKF48" s="3"/>
      <c r="AKG48" s="3"/>
      <c r="AKH48" s="3"/>
      <c r="AKI48" s="3"/>
      <c r="AKJ48" s="3"/>
      <c r="AKK48" s="3"/>
      <c r="AKL48" s="3"/>
      <c r="AKM48" s="3"/>
      <c r="AKN48" s="3"/>
      <c r="AKO48" s="3"/>
      <c r="AKP48" s="3"/>
      <c r="AKQ48" s="3"/>
      <c r="AKR48" s="3"/>
      <c r="AKS48" s="3"/>
      <c r="AKT48" s="3"/>
      <c r="AKU48" s="3"/>
      <c r="AKV48" s="3"/>
      <c r="AKW48" s="3"/>
      <c r="AKX48" s="3"/>
      <c r="AKY48" s="3"/>
      <c r="AKZ48" s="3"/>
      <c r="ALA48" s="3"/>
      <c r="ALB48" s="3"/>
      <c r="ALC48" s="3"/>
      <c r="ALD48" s="3"/>
      <c r="ALE48" s="3"/>
      <c r="ALF48" s="3"/>
      <c r="ALG48" s="3"/>
      <c r="ALH48" s="3"/>
      <c r="ALI48" s="3"/>
      <c r="ALJ48" s="3"/>
      <c r="ALK48" s="3"/>
      <c r="ALL48" s="3"/>
      <c r="ALM48" s="3"/>
      <c r="ALN48" s="3"/>
      <c r="ALO48" s="3"/>
      <c r="ALP48" s="3"/>
      <c r="ALQ48" s="3"/>
      <c r="ALR48" s="3"/>
      <c r="ALS48" s="3"/>
      <c r="ALT48" s="3"/>
      <c r="ALU48" s="3"/>
      <c r="ALV48" s="3"/>
      <c r="ALW48" s="3"/>
      <c r="ALX48" s="3"/>
      <c r="ALY48" s="3"/>
      <c r="ALZ48" s="3"/>
      <c r="AMA48" s="3"/>
      <c r="AMB48" s="3"/>
      <c r="AMC48" s="3"/>
      <c r="AMD48" s="3"/>
      <c r="AME48" s="3"/>
      <c r="AMF48" s="3"/>
      <c r="AMG48" s="3"/>
      <c r="AMH48" s="3"/>
      <c r="AMI48" s="3"/>
      <c r="AMJ48" s="3"/>
      <c r="AMK48" s="3"/>
      <c r="AML48" s="3"/>
      <c r="AMM48" s="3"/>
      <c r="AMN48" s="3"/>
      <c r="AMO48" s="3"/>
      <c r="AMP48" s="3"/>
      <c r="AMQ48" s="3"/>
      <c r="AMR48" s="3"/>
      <c r="AMS48" s="3"/>
      <c r="AMT48" s="3"/>
      <c r="AMU48" s="3"/>
      <c r="AMV48" s="3"/>
      <c r="AMW48" s="3"/>
      <c r="AMX48" s="3"/>
      <c r="AMY48" s="3"/>
      <c r="AMZ48" s="3"/>
      <c r="ANA48" s="3"/>
      <c r="ANB48" s="3"/>
      <c r="ANC48" s="3"/>
      <c r="AND48" s="3"/>
      <c r="ANE48" s="3"/>
      <c r="ANF48" s="3"/>
      <c r="ANG48" s="3"/>
      <c r="ANH48" s="3"/>
      <c r="ANI48" s="3"/>
      <c r="ANJ48" s="3"/>
      <c r="ANK48" s="3"/>
      <c r="ANL48" s="3"/>
      <c r="ANM48" s="3"/>
      <c r="ANN48" s="3"/>
      <c r="ANO48" s="3"/>
      <c r="ANP48" s="3"/>
      <c r="ANQ48" s="3"/>
      <c r="ANR48" s="3"/>
      <c r="ANS48" s="3"/>
      <c r="ANT48" s="3"/>
      <c r="ANU48" s="3"/>
      <c r="ANV48" s="3"/>
      <c r="ANW48" s="3"/>
      <c r="ANX48" s="3"/>
      <c r="ANY48" s="3"/>
      <c r="ANZ48" s="3"/>
      <c r="AOA48" s="3"/>
      <c r="AOB48" s="3"/>
      <c r="AOC48" s="3"/>
      <c r="AOD48" s="3"/>
      <c r="AOE48" s="3"/>
      <c r="AOF48" s="3"/>
      <c r="AOG48" s="3"/>
      <c r="AOH48" s="3"/>
      <c r="AOI48" s="3"/>
      <c r="AOJ48" s="3"/>
      <c r="AOK48" s="3"/>
      <c r="AOL48" s="3"/>
      <c r="AOM48" s="3"/>
      <c r="AON48" s="3"/>
      <c r="AOO48" s="3"/>
      <c r="AOP48" s="3"/>
      <c r="AOQ48" s="3"/>
      <c r="AOR48" s="3"/>
      <c r="AOS48" s="3"/>
      <c r="AOT48" s="3"/>
      <c r="AOU48" s="3"/>
      <c r="AOV48" s="3"/>
      <c r="AOW48" s="3"/>
      <c r="AOX48" s="3"/>
      <c r="AOY48" s="3"/>
      <c r="AOZ48" s="3"/>
      <c r="APA48" s="3"/>
      <c r="APB48" s="3"/>
      <c r="APC48" s="3"/>
      <c r="APD48" s="3"/>
      <c r="APE48" s="3"/>
      <c r="APF48" s="3"/>
      <c r="APG48" s="3"/>
      <c r="APH48" s="3"/>
      <c r="API48" s="3"/>
      <c r="APJ48" s="3"/>
      <c r="APK48" s="3"/>
      <c r="APL48" s="3"/>
      <c r="APM48" s="3"/>
      <c r="APN48" s="3"/>
      <c r="APO48" s="3"/>
      <c r="APP48" s="3"/>
      <c r="APQ48" s="3"/>
      <c r="APR48" s="3"/>
      <c r="APS48" s="3"/>
      <c r="APT48" s="3"/>
      <c r="APU48" s="3"/>
      <c r="APV48" s="3"/>
      <c r="APW48" s="3"/>
      <c r="APX48" s="3"/>
      <c r="APY48" s="3"/>
      <c r="APZ48" s="3"/>
      <c r="AQA48" s="3"/>
      <c r="AQB48" s="3"/>
      <c r="AQC48" s="3"/>
      <c r="AQD48" s="3"/>
      <c r="AQE48" s="3"/>
      <c r="AQF48" s="3"/>
      <c r="AQG48" s="3"/>
      <c r="AQH48" s="3"/>
      <c r="AQI48" s="3"/>
      <c r="AQJ48" s="3"/>
      <c r="AQK48" s="3"/>
      <c r="AQL48" s="3"/>
      <c r="AQM48" s="3"/>
      <c r="AQN48" s="3"/>
      <c r="AQO48" s="3"/>
      <c r="AQP48" s="3"/>
      <c r="AQQ48" s="3"/>
      <c r="AQR48" s="3"/>
      <c r="AQS48" s="3"/>
      <c r="AQT48" s="3"/>
      <c r="AQU48" s="3"/>
      <c r="AQV48" s="3"/>
      <c r="AQW48" s="3"/>
      <c r="AQX48" s="3"/>
      <c r="AQY48" s="3"/>
      <c r="AQZ48" s="3"/>
      <c r="ARA48" s="3"/>
      <c r="ARB48" s="3"/>
      <c r="ARC48" s="3"/>
      <c r="ARD48" s="3"/>
      <c r="ARE48" s="3"/>
      <c r="ARF48" s="3"/>
      <c r="ARG48" s="3"/>
      <c r="ARH48" s="3"/>
      <c r="ARI48" s="3"/>
      <c r="ARJ48" s="3"/>
      <c r="ARK48" s="3"/>
      <c r="ARL48" s="3"/>
      <c r="ARM48" s="3"/>
      <c r="ARN48" s="3"/>
      <c r="ARO48" s="3"/>
      <c r="ARP48" s="3"/>
      <c r="ARQ48" s="3"/>
      <c r="ARR48" s="3"/>
      <c r="ARS48" s="3"/>
      <c r="ART48" s="3"/>
      <c r="ARU48" s="3"/>
      <c r="ARV48" s="3"/>
      <c r="ARW48" s="3"/>
      <c r="ARX48" s="3"/>
      <c r="ARY48" s="3"/>
      <c r="ARZ48" s="3"/>
      <c r="ASA48" s="3"/>
      <c r="ASB48" s="3"/>
      <c r="ASC48" s="3"/>
      <c r="ASD48" s="3"/>
      <c r="ASE48" s="3"/>
      <c r="ASF48" s="3"/>
      <c r="ASG48" s="3"/>
      <c r="ASH48" s="3"/>
      <c r="ASI48" s="3"/>
      <c r="ASJ48" s="3"/>
      <c r="ASK48" s="3"/>
      <c r="ASL48" s="3"/>
      <c r="ASM48" s="3"/>
      <c r="ASN48" s="3"/>
      <c r="ASO48" s="3"/>
      <c r="ASP48" s="3"/>
      <c r="ASQ48" s="3"/>
      <c r="ASR48" s="3"/>
      <c r="ASS48" s="3"/>
      <c r="AST48" s="3"/>
      <c r="ASU48" s="3"/>
      <c r="ASV48" s="3"/>
      <c r="ASW48" s="3"/>
      <c r="ASX48" s="3"/>
      <c r="ASY48" s="3"/>
      <c r="ASZ48" s="3"/>
      <c r="ATA48" s="3"/>
      <c r="ATB48" s="3"/>
      <c r="ATC48" s="3"/>
      <c r="ATD48" s="3"/>
      <c r="ATE48" s="3"/>
      <c r="ATF48" s="3"/>
      <c r="ATG48" s="3"/>
      <c r="ATH48" s="3"/>
      <c r="ATI48" s="3"/>
      <c r="ATJ48" s="3"/>
      <c r="ATK48" s="3"/>
      <c r="ATL48" s="3"/>
      <c r="ATM48" s="3"/>
      <c r="ATN48" s="3"/>
      <c r="ATO48" s="3"/>
      <c r="ATP48" s="3"/>
      <c r="ATQ48" s="3"/>
      <c r="ATR48" s="3"/>
      <c r="ATS48" s="3"/>
      <c r="ATT48" s="3"/>
      <c r="ATU48" s="3"/>
      <c r="ATV48" s="3"/>
      <c r="ATW48" s="3"/>
      <c r="ATX48" s="3"/>
      <c r="ATY48" s="3"/>
      <c r="ATZ48" s="3"/>
      <c r="AUA48" s="3"/>
      <c r="AUB48" s="3"/>
      <c r="AUC48" s="3"/>
      <c r="AUD48" s="3"/>
      <c r="AUE48" s="3"/>
      <c r="AUF48" s="3"/>
      <c r="AUG48" s="3"/>
      <c r="AUH48" s="3"/>
      <c r="AUI48" s="3"/>
      <c r="AUJ48" s="3"/>
      <c r="AUK48" s="3"/>
      <c r="AUL48" s="3"/>
      <c r="AUM48" s="3"/>
      <c r="AUN48" s="3"/>
      <c r="AUO48" s="3"/>
      <c r="AUP48" s="3"/>
      <c r="AUQ48" s="3"/>
      <c r="AUR48" s="3"/>
      <c r="AUS48" s="3"/>
      <c r="AUT48" s="3"/>
      <c r="AUU48" s="3"/>
      <c r="AUV48" s="3"/>
      <c r="AUW48" s="3"/>
      <c r="AUX48" s="3"/>
      <c r="AUY48" s="3"/>
      <c r="AUZ48" s="3"/>
      <c r="AVA48" s="3"/>
      <c r="AVB48" s="3"/>
      <c r="AVC48" s="3"/>
      <c r="AVD48" s="3"/>
      <c r="AVE48" s="3"/>
      <c r="AVF48" s="3"/>
      <c r="AVG48" s="3"/>
      <c r="AVH48" s="3"/>
      <c r="AVI48" s="3"/>
      <c r="AVJ48" s="3"/>
      <c r="AVK48" s="3"/>
      <c r="AVL48" s="3"/>
      <c r="AVM48" s="3"/>
      <c r="AVN48" s="3"/>
      <c r="AVO48" s="3"/>
      <c r="AVP48" s="3"/>
      <c r="AVQ48" s="3"/>
      <c r="AVR48" s="3"/>
      <c r="AVS48" s="3"/>
      <c r="AVT48" s="3"/>
      <c r="AVU48" s="3"/>
      <c r="AVV48" s="3"/>
      <c r="AVW48" s="3"/>
      <c r="AVX48" s="3"/>
      <c r="AVY48" s="3"/>
      <c r="AVZ48" s="3"/>
      <c r="AWA48" s="3"/>
      <c r="AWB48" s="3"/>
      <c r="AWC48" s="3"/>
      <c r="AWD48" s="3"/>
      <c r="AWE48" s="3"/>
      <c r="AWF48" s="3"/>
      <c r="AWG48" s="3"/>
      <c r="AWH48" s="3"/>
      <c r="AWI48" s="3"/>
      <c r="AWJ48" s="3"/>
      <c r="AWK48" s="3"/>
      <c r="AWL48" s="3"/>
      <c r="AWM48" s="3"/>
      <c r="AWN48" s="3"/>
      <c r="AWO48" s="3"/>
      <c r="AWP48" s="3"/>
      <c r="AWQ48" s="3"/>
      <c r="AWR48" s="3"/>
      <c r="AWS48" s="3"/>
      <c r="AWT48" s="3"/>
      <c r="AWU48" s="3"/>
      <c r="AWV48" s="3"/>
      <c r="AWW48" s="3"/>
      <c r="AWX48" s="3"/>
      <c r="AWY48" s="3"/>
      <c r="AWZ48" s="3"/>
      <c r="AXA48" s="3"/>
      <c r="AXB48" s="3"/>
      <c r="AXC48" s="3"/>
      <c r="AXD48" s="3"/>
      <c r="AXE48" s="3"/>
      <c r="AXF48" s="3"/>
      <c r="AXG48" s="3"/>
      <c r="AXH48" s="3"/>
      <c r="AXI48" s="3"/>
      <c r="AXJ48" s="3"/>
      <c r="AXK48" s="3"/>
      <c r="AXL48" s="3"/>
      <c r="AXM48" s="3"/>
      <c r="AXN48" s="3"/>
      <c r="AXO48" s="3"/>
      <c r="AXP48" s="3"/>
      <c r="AXQ48" s="3"/>
      <c r="AXR48" s="3"/>
      <c r="AXS48" s="3"/>
      <c r="AXT48" s="3"/>
      <c r="AXU48" s="3"/>
      <c r="AXV48" s="3"/>
      <c r="AXW48" s="3"/>
      <c r="AXX48" s="3"/>
      <c r="AXY48" s="3"/>
      <c r="AXZ48" s="3"/>
      <c r="AYA48" s="3"/>
      <c r="AYB48" s="3"/>
      <c r="AYC48" s="3"/>
      <c r="AYD48" s="3"/>
      <c r="AYE48" s="3"/>
      <c r="AYF48" s="3"/>
      <c r="AYG48" s="3"/>
      <c r="AYH48" s="3"/>
      <c r="AYI48" s="3"/>
      <c r="AYJ48" s="3"/>
      <c r="AYK48" s="3"/>
      <c r="AYL48" s="3"/>
      <c r="AYM48" s="3"/>
      <c r="AYN48" s="3"/>
      <c r="AYO48" s="3"/>
      <c r="AYP48" s="3"/>
      <c r="AYQ48" s="3"/>
      <c r="AYR48" s="3"/>
      <c r="AYS48" s="3"/>
      <c r="AYT48" s="3"/>
      <c r="AYU48" s="3"/>
      <c r="AYV48" s="3"/>
      <c r="AYW48" s="3"/>
      <c r="AYX48" s="3"/>
      <c r="AYY48" s="3"/>
      <c r="AYZ48" s="3"/>
      <c r="AZA48" s="3"/>
      <c r="AZB48" s="3"/>
      <c r="AZC48" s="3"/>
      <c r="AZD48" s="3"/>
      <c r="AZE48" s="3"/>
      <c r="AZF48" s="3"/>
      <c r="AZG48" s="3"/>
      <c r="AZH48" s="3"/>
      <c r="AZI48" s="3"/>
      <c r="AZJ48" s="3"/>
      <c r="AZK48" s="3"/>
      <c r="AZL48" s="3"/>
      <c r="AZM48" s="3"/>
      <c r="AZN48" s="3"/>
      <c r="AZO48" s="3"/>
      <c r="AZP48" s="3"/>
      <c r="AZQ48" s="3"/>
      <c r="AZR48" s="3"/>
      <c r="AZS48" s="3"/>
      <c r="AZT48" s="3"/>
      <c r="AZU48" s="3"/>
      <c r="AZV48" s="3"/>
      <c r="AZW48" s="3"/>
      <c r="AZX48" s="3"/>
      <c r="AZY48" s="3"/>
      <c r="AZZ48" s="3"/>
      <c r="BAA48" s="3"/>
      <c r="BAB48" s="3"/>
      <c r="BAC48" s="3"/>
      <c r="BAD48" s="3"/>
      <c r="BAE48" s="3"/>
      <c r="BAF48" s="3"/>
      <c r="BAG48" s="3"/>
      <c r="BAH48" s="3"/>
      <c r="BAI48" s="3"/>
      <c r="BAJ48" s="3"/>
      <c r="BAK48" s="3"/>
      <c r="BAL48" s="3"/>
      <c r="BAM48" s="3"/>
      <c r="BAN48" s="3"/>
      <c r="BAO48" s="3"/>
      <c r="BAP48" s="3"/>
      <c r="BAQ48" s="3"/>
      <c r="BAR48" s="3"/>
      <c r="BAS48" s="3"/>
      <c r="BAT48" s="3"/>
      <c r="BAU48" s="3"/>
      <c r="BAV48" s="3"/>
      <c r="BAW48" s="3"/>
      <c r="BAX48" s="3"/>
      <c r="BAY48" s="3"/>
      <c r="BAZ48" s="3"/>
      <c r="BBA48" s="3"/>
      <c r="BBB48" s="3"/>
      <c r="BBC48" s="3"/>
      <c r="BBD48" s="3"/>
      <c r="BBE48" s="3"/>
      <c r="BBF48" s="3"/>
      <c r="BBG48" s="3"/>
      <c r="BBH48" s="3"/>
      <c r="BBI48" s="3"/>
      <c r="BBJ48" s="3"/>
      <c r="BBK48" s="3"/>
      <c r="BBL48" s="3"/>
      <c r="BBM48" s="3"/>
      <c r="BBN48" s="3"/>
      <c r="BBO48" s="3"/>
      <c r="BBP48" s="3"/>
      <c r="BBQ48" s="3"/>
      <c r="BBR48" s="3"/>
      <c r="BBS48" s="3"/>
      <c r="BBT48" s="3"/>
      <c r="BBU48" s="3"/>
      <c r="BBV48" s="3"/>
      <c r="BBW48" s="3"/>
      <c r="BBX48" s="3"/>
      <c r="BBY48" s="3"/>
      <c r="BBZ48" s="3"/>
      <c r="BCA48" s="3"/>
      <c r="BCB48" s="3"/>
      <c r="BCC48" s="3"/>
      <c r="BCD48" s="3"/>
      <c r="BCE48" s="3"/>
      <c r="BCF48" s="3"/>
      <c r="BCG48" s="3"/>
      <c r="BCH48" s="3"/>
      <c r="BCI48" s="3"/>
      <c r="BCJ48" s="3"/>
      <c r="BCK48" s="3"/>
      <c r="BCL48" s="3"/>
      <c r="BCM48" s="3"/>
      <c r="BCN48" s="3"/>
      <c r="BCO48" s="3"/>
      <c r="BCP48" s="3"/>
      <c r="BCQ48" s="3"/>
      <c r="BCR48" s="3"/>
      <c r="BCS48" s="3"/>
      <c r="BCT48" s="3"/>
      <c r="BCU48" s="3"/>
      <c r="BCV48" s="3"/>
      <c r="BCW48" s="3"/>
      <c r="BCX48" s="3"/>
      <c r="BCY48" s="3"/>
      <c r="BCZ48" s="3"/>
      <c r="BDA48" s="3"/>
      <c r="BDB48" s="3"/>
      <c r="BDC48" s="3"/>
      <c r="BDD48" s="3"/>
      <c r="BDE48" s="3"/>
      <c r="BDF48" s="3"/>
      <c r="BDG48" s="3"/>
      <c r="BDH48" s="3"/>
      <c r="BDI48" s="3"/>
      <c r="BDJ48" s="3"/>
      <c r="BDK48" s="3"/>
      <c r="BDL48" s="3"/>
      <c r="BDM48" s="3"/>
      <c r="BDN48" s="3"/>
      <c r="BDO48" s="3"/>
      <c r="BDP48" s="3"/>
      <c r="BDQ48" s="3"/>
      <c r="BDR48" s="3"/>
      <c r="BDS48" s="3"/>
      <c r="BDT48" s="3"/>
      <c r="BDU48" s="3"/>
      <c r="BDV48" s="3"/>
      <c r="BDW48" s="3"/>
      <c r="BDX48" s="3"/>
      <c r="BDY48" s="3"/>
      <c r="BDZ48" s="3"/>
      <c r="BEA48" s="3"/>
      <c r="BEB48" s="3"/>
      <c r="BEC48" s="3"/>
      <c r="BED48" s="3"/>
      <c r="BEE48" s="3"/>
      <c r="BEF48" s="3"/>
      <c r="BEG48" s="3"/>
      <c r="BEH48" s="3"/>
      <c r="BEI48" s="3"/>
      <c r="BEJ48" s="3"/>
      <c r="BEK48" s="3"/>
      <c r="BEL48" s="3"/>
      <c r="BEM48" s="3"/>
      <c r="BEN48" s="3"/>
      <c r="BEO48" s="3"/>
      <c r="BEP48" s="3"/>
      <c r="BEQ48" s="3"/>
      <c r="BER48" s="3"/>
      <c r="BES48" s="3"/>
      <c r="BET48" s="3"/>
      <c r="BEU48" s="3"/>
      <c r="BEV48" s="3"/>
      <c r="BEW48" s="3"/>
      <c r="BEX48" s="3"/>
      <c r="BEY48" s="3"/>
      <c r="BEZ48" s="3"/>
      <c r="BFA48" s="3"/>
      <c r="BFB48" s="3"/>
      <c r="BFC48" s="3"/>
      <c r="BFD48" s="3"/>
      <c r="BFE48" s="3"/>
      <c r="BFF48" s="3"/>
      <c r="BFG48" s="3"/>
      <c r="BFH48" s="3"/>
      <c r="BFI48" s="3"/>
      <c r="BFJ48" s="3"/>
      <c r="BFK48" s="3"/>
      <c r="BFL48" s="3"/>
      <c r="BFM48" s="3"/>
      <c r="BFN48" s="3"/>
      <c r="BFO48" s="3"/>
      <c r="BFP48" s="3"/>
      <c r="BFQ48" s="3"/>
      <c r="BFR48" s="3"/>
      <c r="BFS48" s="3"/>
      <c r="BFT48" s="3"/>
      <c r="BFU48" s="3"/>
      <c r="BFV48" s="3"/>
      <c r="BFW48" s="3"/>
      <c r="BFX48" s="3"/>
      <c r="BFY48" s="3"/>
      <c r="BFZ48" s="3"/>
      <c r="BGA48" s="3"/>
      <c r="BGB48" s="3"/>
      <c r="BGC48" s="3"/>
      <c r="BGD48" s="3"/>
      <c r="BGE48" s="3"/>
      <c r="BGF48" s="3"/>
      <c r="BGG48" s="3"/>
      <c r="BGH48" s="3"/>
      <c r="BGI48" s="3"/>
      <c r="BGJ48" s="3"/>
      <c r="BGK48" s="3"/>
      <c r="BGL48" s="3"/>
      <c r="BGM48" s="3"/>
      <c r="BGN48" s="3"/>
      <c r="BGO48" s="3"/>
      <c r="BGP48" s="3"/>
      <c r="BGQ48" s="3"/>
      <c r="BGR48" s="3"/>
      <c r="BGS48" s="3"/>
      <c r="BGT48" s="3"/>
      <c r="BGU48" s="3"/>
      <c r="BGV48" s="3"/>
      <c r="BGW48" s="3"/>
      <c r="BGX48" s="3"/>
      <c r="BGY48" s="3"/>
      <c r="BGZ48" s="3"/>
      <c r="BHA48" s="3"/>
      <c r="BHB48" s="3"/>
      <c r="BHC48" s="3"/>
      <c r="BHD48" s="3"/>
      <c r="BHE48" s="3"/>
      <c r="BHF48" s="3"/>
      <c r="BHG48" s="3"/>
      <c r="BHH48" s="3"/>
      <c r="BHI48" s="3"/>
      <c r="BHJ48" s="3"/>
      <c r="BHK48" s="3"/>
      <c r="BHL48" s="3"/>
      <c r="BHM48" s="3"/>
      <c r="BHN48" s="3"/>
      <c r="BHO48" s="3"/>
      <c r="BHP48" s="3"/>
      <c r="BHQ48" s="3"/>
      <c r="BHR48" s="3"/>
      <c r="BHS48" s="3"/>
      <c r="BHT48" s="3"/>
      <c r="BHU48" s="3"/>
      <c r="BHV48" s="3"/>
      <c r="BHW48" s="3"/>
      <c r="BHX48" s="3"/>
      <c r="BHY48" s="3"/>
      <c r="BHZ48" s="3"/>
      <c r="BIA48" s="3"/>
      <c r="BIB48" s="3"/>
      <c r="BIC48" s="3"/>
      <c r="BID48" s="3"/>
      <c r="BIE48" s="3"/>
      <c r="BIF48" s="3"/>
      <c r="BIG48" s="3"/>
      <c r="BIH48" s="3"/>
      <c r="BII48" s="3"/>
      <c r="BIJ48" s="3"/>
      <c r="BIK48" s="3"/>
      <c r="BIL48" s="3"/>
      <c r="BIM48" s="3"/>
      <c r="BIN48" s="3"/>
      <c r="BIO48" s="3"/>
      <c r="BIP48" s="3"/>
      <c r="BIQ48" s="3"/>
      <c r="BIR48" s="3"/>
      <c r="BIS48" s="3"/>
      <c r="BIT48" s="3"/>
      <c r="BIU48" s="3"/>
      <c r="BIV48" s="3"/>
      <c r="BIW48" s="3"/>
      <c r="BIX48" s="3"/>
      <c r="BIY48" s="3"/>
      <c r="BIZ48" s="3"/>
      <c r="BJA48" s="3"/>
      <c r="BJB48" s="3"/>
      <c r="BJC48" s="3"/>
      <c r="BJD48" s="3"/>
      <c r="BJE48" s="3"/>
      <c r="BJF48" s="3"/>
      <c r="BJG48" s="3"/>
      <c r="BJH48" s="3"/>
      <c r="BJI48" s="3"/>
      <c r="BJJ48" s="3"/>
      <c r="BJK48" s="3"/>
      <c r="BJL48" s="3"/>
      <c r="BJM48" s="3"/>
      <c r="BJN48" s="3"/>
      <c r="BJO48" s="3"/>
      <c r="BJP48" s="3"/>
      <c r="BJQ48" s="3"/>
      <c r="BJR48" s="3"/>
      <c r="BJS48" s="3"/>
      <c r="BJT48" s="3"/>
      <c r="BJU48" s="3"/>
      <c r="BJV48" s="3"/>
      <c r="BJW48" s="3"/>
      <c r="BJX48" s="3"/>
      <c r="BJY48" s="3"/>
      <c r="BJZ48" s="3"/>
      <c r="BKA48" s="3"/>
      <c r="BKB48" s="3"/>
      <c r="BKC48" s="3"/>
      <c r="BKD48" s="3"/>
      <c r="BKE48" s="3"/>
      <c r="BKF48" s="3"/>
      <c r="BKG48" s="3"/>
      <c r="BKH48" s="3"/>
      <c r="BKI48" s="3"/>
      <c r="BKJ48" s="3"/>
      <c r="BKK48" s="3"/>
      <c r="BKL48" s="3"/>
      <c r="BKM48" s="3"/>
      <c r="BKN48" s="3"/>
      <c r="BKO48" s="3"/>
      <c r="BKP48" s="3"/>
      <c r="BKQ48" s="3"/>
      <c r="BKR48" s="3"/>
      <c r="BKS48" s="3"/>
      <c r="BKT48" s="3"/>
      <c r="BKU48" s="3"/>
      <c r="BKV48" s="3"/>
      <c r="BKW48" s="3"/>
      <c r="BKX48" s="3"/>
      <c r="BKY48" s="3"/>
      <c r="BKZ48" s="3"/>
      <c r="BLA48" s="3"/>
      <c r="BLB48" s="3"/>
      <c r="BLC48" s="3"/>
      <c r="BLD48" s="3"/>
      <c r="BLE48" s="3"/>
      <c r="BLF48" s="3"/>
      <c r="BLG48" s="3"/>
      <c r="BLH48" s="3"/>
      <c r="BLI48" s="3"/>
      <c r="BLJ48" s="3"/>
      <c r="BLK48" s="3"/>
      <c r="BLL48" s="3"/>
      <c r="BLM48" s="3"/>
      <c r="BLN48" s="3"/>
      <c r="BLO48" s="3"/>
      <c r="BLP48" s="3"/>
      <c r="BLQ48" s="3"/>
      <c r="BLR48" s="3"/>
      <c r="BLS48" s="3"/>
      <c r="BLT48" s="3"/>
      <c r="BLU48" s="3"/>
      <c r="BLV48" s="3"/>
      <c r="BLW48" s="3"/>
      <c r="BLX48" s="3"/>
      <c r="BLY48" s="3"/>
      <c r="BLZ48" s="3"/>
      <c r="BMA48" s="3"/>
      <c r="BMB48" s="3"/>
      <c r="BMC48" s="3"/>
      <c r="BMD48" s="3"/>
      <c r="BME48" s="3"/>
      <c r="BMF48" s="3"/>
      <c r="BMG48" s="3"/>
      <c r="BMH48" s="3"/>
      <c r="BMI48" s="3"/>
      <c r="BMJ48" s="3"/>
      <c r="BMK48" s="3"/>
      <c r="BML48" s="3"/>
      <c r="BMM48" s="3"/>
      <c r="BMN48" s="3"/>
      <c r="BMO48" s="3"/>
      <c r="BMP48" s="3"/>
      <c r="BMQ48" s="3"/>
      <c r="BMR48" s="3"/>
      <c r="BMS48" s="3"/>
      <c r="BMT48" s="3"/>
      <c r="BMU48" s="3"/>
      <c r="BMV48" s="3"/>
      <c r="BMW48" s="3"/>
      <c r="BMX48" s="3"/>
      <c r="BMY48" s="3"/>
      <c r="BMZ48" s="3"/>
      <c r="BNA48" s="3"/>
      <c r="BNB48" s="3"/>
      <c r="BNC48" s="3"/>
      <c r="BND48" s="3"/>
      <c r="BNE48" s="3"/>
      <c r="BNF48" s="3"/>
      <c r="BNG48" s="3"/>
      <c r="BNH48" s="3"/>
      <c r="BNI48" s="3"/>
      <c r="BNJ48" s="3"/>
      <c r="BNK48" s="3"/>
      <c r="BNL48" s="3"/>
      <c r="BNM48" s="3"/>
      <c r="BNN48" s="3"/>
      <c r="BNO48" s="3"/>
      <c r="BNP48" s="3"/>
      <c r="BNQ48" s="3"/>
      <c r="BNR48" s="3"/>
      <c r="BNS48" s="3"/>
      <c r="BNT48" s="3"/>
      <c r="BNU48" s="3"/>
      <c r="BNV48" s="3"/>
      <c r="BNW48" s="3"/>
      <c r="BNX48" s="3"/>
      <c r="BNY48" s="3"/>
      <c r="BNZ48" s="3"/>
      <c r="BOA48" s="3"/>
      <c r="BOB48" s="3"/>
      <c r="BOC48" s="3"/>
      <c r="BOD48" s="3"/>
      <c r="BOE48" s="3"/>
      <c r="BOF48" s="3"/>
      <c r="BOG48" s="3"/>
      <c r="BOH48" s="3"/>
      <c r="BOI48" s="3"/>
      <c r="BOJ48" s="3"/>
      <c r="BOK48" s="3"/>
      <c r="BOL48" s="3"/>
      <c r="BOM48" s="3"/>
      <c r="BON48" s="3"/>
      <c r="BOO48" s="3"/>
      <c r="BOP48" s="3"/>
      <c r="BOQ48" s="3"/>
      <c r="BOR48" s="3"/>
      <c r="BOS48" s="3"/>
      <c r="BOT48" s="3"/>
      <c r="BOU48" s="3"/>
      <c r="BOV48" s="3"/>
      <c r="BOW48" s="3"/>
      <c r="BOX48" s="3"/>
      <c r="BOY48" s="3"/>
      <c r="BOZ48" s="3"/>
      <c r="BPA48" s="3"/>
      <c r="BPB48" s="3"/>
      <c r="BPC48" s="3"/>
      <c r="BPD48" s="3"/>
      <c r="BPE48" s="3"/>
      <c r="BPF48" s="3"/>
      <c r="BPG48" s="3"/>
      <c r="BPH48" s="3"/>
      <c r="BPI48" s="3"/>
      <c r="BPJ48" s="3"/>
      <c r="BPK48" s="3"/>
      <c r="BPL48" s="3"/>
      <c r="BPM48" s="3"/>
      <c r="BPN48" s="3"/>
      <c r="BPO48" s="3"/>
      <c r="BPP48" s="3"/>
      <c r="BPQ48" s="3"/>
      <c r="BPR48" s="3"/>
      <c r="BPS48" s="3"/>
      <c r="BPT48" s="3"/>
      <c r="BPU48" s="3"/>
      <c r="BPV48" s="3"/>
      <c r="BPW48" s="3"/>
      <c r="BPX48" s="3"/>
      <c r="BPY48" s="3"/>
      <c r="BPZ48" s="3"/>
      <c r="BQA48" s="3"/>
      <c r="BQB48" s="3"/>
      <c r="BQC48" s="3"/>
      <c r="BQD48" s="3"/>
      <c r="BQE48" s="3"/>
      <c r="BQF48" s="3"/>
      <c r="BQG48" s="3"/>
      <c r="BQH48" s="3"/>
      <c r="BQI48" s="3"/>
      <c r="BQJ48" s="3"/>
      <c r="BQK48" s="3"/>
      <c r="BQL48" s="3"/>
      <c r="BQM48" s="3"/>
      <c r="BQN48" s="3"/>
      <c r="BQO48" s="3"/>
      <c r="BQP48" s="3"/>
      <c r="BQQ48" s="3"/>
      <c r="BQR48" s="3"/>
      <c r="BQS48" s="3"/>
      <c r="BQT48" s="3"/>
      <c r="BQU48" s="3"/>
      <c r="BQV48" s="3"/>
      <c r="BQW48" s="3"/>
      <c r="BQX48" s="3"/>
      <c r="BQY48" s="3"/>
      <c r="BQZ48" s="3"/>
      <c r="BRA48" s="3"/>
      <c r="BRB48" s="3"/>
      <c r="BRC48" s="3"/>
      <c r="BRD48" s="3"/>
      <c r="BRE48" s="3"/>
      <c r="BRF48" s="3"/>
      <c r="BRG48" s="3"/>
      <c r="BRH48" s="3"/>
      <c r="BRI48" s="3"/>
      <c r="BRJ48" s="3"/>
      <c r="BRK48" s="3"/>
      <c r="BRL48" s="3"/>
      <c r="BRM48" s="3"/>
      <c r="BRN48" s="3"/>
      <c r="BRO48" s="3"/>
      <c r="BRP48" s="3"/>
      <c r="BRQ48" s="3"/>
      <c r="BRR48" s="3"/>
      <c r="BRS48" s="3"/>
      <c r="BRT48" s="3"/>
      <c r="BRU48" s="3"/>
      <c r="BRV48" s="3"/>
      <c r="BRW48" s="3"/>
      <c r="BRX48" s="3"/>
      <c r="BRY48" s="3"/>
      <c r="BRZ48" s="3"/>
      <c r="BSA48" s="3"/>
      <c r="BSB48" s="3"/>
      <c r="BSC48" s="3"/>
      <c r="BSD48" s="3"/>
      <c r="BSE48" s="3"/>
      <c r="BSF48" s="3"/>
      <c r="BSG48" s="3"/>
      <c r="BSH48" s="3"/>
      <c r="BSI48" s="3"/>
      <c r="BSJ48" s="3"/>
      <c r="BSK48" s="3"/>
      <c r="BSL48" s="3"/>
      <c r="BSM48" s="3"/>
      <c r="BSN48" s="3"/>
      <c r="BSO48" s="3"/>
      <c r="BSP48" s="3"/>
      <c r="BSQ48" s="3"/>
      <c r="BSR48" s="3"/>
      <c r="BSS48" s="3"/>
      <c r="BST48" s="3"/>
      <c r="BSU48" s="3"/>
      <c r="BSV48" s="3"/>
      <c r="BSW48" s="3"/>
      <c r="BSX48" s="3"/>
      <c r="BSY48" s="3"/>
      <c r="BSZ48" s="3"/>
      <c r="BTA48" s="3"/>
      <c r="BTB48" s="3"/>
      <c r="BTC48" s="3"/>
      <c r="BTD48" s="3"/>
      <c r="BTE48" s="3"/>
      <c r="BTF48" s="3"/>
      <c r="BTG48" s="3"/>
      <c r="BTH48" s="3"/>
      <c r="BTI48" s="3"/>
      <c r="BTJ48" s="3"/>
      <c r="BTK48" s="3"/>
      <c r="BTL48" s="3"/>
      <c r="BTM48" s="3"/>
      <c r="BTN48" s="3"/>
      <c r="BTO48" s="3"/>
      <c r="BTP48" s="3"/>
      <c r="BTQ48" s="3"/>
      <c r="BTR48" s="3"/>
      <c r="BTS48" s="3"/>
      <c r="BTT48" s="3"/>
      <c r="BTU48" s="3"/>
      <c r="BTV48" s="3"/>
      <c r="BTW48" s="3"/>
      <c r="BTX48" s="3"/>
      <c r="BTY48" s="3"/>
      <c r="BTZ48" s="3"/>
      <c r="BUA48" s="3"/>
      <c r="BUB48" s="3"/>
      <c r="BUC48" s="3"/>
      <c r="BUD48" s="3"/>
      <c r="BUE48" s="3"/>
      <c r="BUF48" s="3"/>
      <c r="BUG48" s="3"/>
      <c r="BUH48" s="3"/>
      <c r="BUI48" s="3"/>
      <c r="BUJ48" s="3"/>
      <c r="BUK48" s="3"/>
      <c r="BUL48" s="3"/>
      <c r="BUM48" s="3"/>
      <c r="BUN48" s="3"/>
      <c r="BUO48" s="3"/>
      <c r="BUP48" s="3"/>
      <c r="BUQ48" s="3"/>
      <c r="BUR48" s="3"/>
      <c r="BUS48" s="3"/>
      <c r="BUT48" s="3"/>
      <c r="BUU48" s="3"/>
      <c r="BUV48" s="3"/>
      <c r="BUW48" s="3"/>
      <c r="BUX48" s="3"/>
      <c r="BUY48" s="3"/>
      <c r="BUZ48" s="3"/>
      <c r="BVA48" s="3"/>
      <c r="BVB48" s="3"/>
      <c r="BVC48" s="3"/>
      <c r="BVD48" s="3"/>
      <c r="BVE48" s="3"/>
      <c r="BVF48" s="3"/>
      <c r="BVG48" s="3"/>
      <c r="BVH48" s="3"/>
      <c r="BVI48" s="3"/>
      <c r="BVJ48" s="3"/>
      <c r="BVK48" s="3"/>
      <c r="BVL48" s="3"/>
      <c r="BVM48" s="3"/>
      <c r="BVN48" s="3"/>
      <c r="BVO48" s="3"/>
      <c r="BVP48" s="3"/>
      <c r="BVQ48" s="3"/>
      <c r="BVR48" s="3"/>
      <c r="BVS48" s="3"/>
      <c r="BVT48" s="3"/>
      <c r="BVU48" s="3"/>
      <c r="BVV48" s="3"/>
      <c r="BVW48" s="3"/>
      <c r="BVX48" s="3"/>
      <c r="BVY48" s="3"/>
      <c r="BVZ48" s="3"/>
      <c r="BWA48" s="3"/>
      <c r="BWB48" s="3"/>
      <c r="BWC48" s="3"/>
      <c r="BWD48" s="3"/>
      <c r="BWE48" s="3"/>
      <c r="BWF48" s="3"/>
      <c r="BWG48" s="3"/>
      <c r="BWH48" s="3"/>
      <c r="BWI48" s="3"/>
      <c r="BWJ48" s="3"/>
      <c r="BWK48" s="3"/>
      <c r="BWL48" s="3"/>
      <c r="BWM48" s="3"/>
      <c r="BWN48" s="3"/>
      <c r="BWO48" s="3"/>
      <c r="BWP48" s="3"/>
      <c r="BWQ48" s="3"/>
      <c r="BWR48" s="3"/>
      <c r="BWS48" s="3"/>
      <c r="BWT48" s="3"/>
      <c r="BWU48" s="3"/>
      <c r="BWV48" s="3"/>
      <c r="BWW48" s="3"/>
      <c r="BWX48" s="3"/>
      <c r="BWY48" s="3"/>
      <c r="BWZ48" s="3"/>
      <c r="BXA48" s="3"/>
      <c r="BXB48" s="3"/>
      <c r="BXC48" s="3"/>
      <c r="BXD48" s="3"/>
      <c r="BXE48" s="3"/>
      <c r="BXF48" s="3"/>
      <c r="BXG48" s="3"/>
      <c r="BXH48" s="3"/>
      <c r="BXI48" s="3"/>
      <c r="BXJ48" s="3"/>
      <c r="BXK48" s="3"/>
      <c r="BXL48" s="3"/>
      <c r="BXM48" s="3"/>
      <c r="BXN48" s="3"/>
      <c r="BXO48" s="3"/>
      <c r="BXP48" s="3"/>
      <c r="BXQ48" s="3"/>
      <c r="BXR48" s="3"/>
      <c r="BXS48" s="3"/>
      <c r="BXT48" s="3"/>
      <c r="BXU48" s="3"/>
      <c r="BXV48" s="3"/>
      <c r="BXW48" s="3"/>
      <c r="BXX48" s="3"/>
      <c r="BXY48" s="3"/>
      <c r="BXZ48" s="3"/>
      <c r="BYA48" s="3"/>
      <c r="BYB48" s="3"/>
      <c r="BYC48" s="3"/>
      <c r="BYD48" s="3"/>
      <c r="BYE48" s="3"/>
      <c r="BYF48" s="3"/>
      <c r="BYG48" s="3"/>
    </row>
    <row r="49" spans="1:2009" s="87" customFormat="1" ht="24.95" customHeight="1" x14ac:dyDescent="0.25">
      <c r="A49" s="308"/>
      <c r="B49" s="345" t="s">
        <v>553</v>
      </c>
      <c r="C49" s="369"/>
      <c r="D49" s="415">
        <f>19590.57+23.28</f>
        <v>19613.849999999999</v>
      </c>
      <c r="E49" s="369"/>
      <c r="F49" s="415"/>
      <c r="G49" s="527">
        <f>ROUND(SUM(C49:F49),5)</f>
        <v>19613.849999999999</v>
      </c>
      <c r="H49" s="3"/>
      <c r="I49" s="26"/>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c r="AJY49" s="3"/>
      <c r="AJZ49" s="3"/>
      <c r="AKA49" s="3"/>
      <c r="AKB49" s="3"/>
      <c r="AKC49" s="3"/>
      <c r="AKD49" s="3"/>
      <c r="AKE49" s="3"/>
      <c r="AKF49" s="3"/>
      <c r="AKG49" s="3"/>
      <c r="AKH49" s="3"/>
      <c r="AKI49" s="3"/>
      <c r="AKJ49" s="3"/>
      <c r="AKK49" s="3"/>
      <c r="AKL49" s="3"/>
      <c r="AKM49" s="3"/>
      <c r="AKN49" s="3"/>
      <c r="AKO49" s="3"/>
      <c r="AKP49" s="3"/>
      <c r="AKQ49" s="3"/>
      <c r="AKR49" s="3"/>
      <c r="AKS49" s="3"/>
      <c r="AKT49" s="3"/>
      <c r="AKU49" s="3"/>
      <c r="AKV49" s="3"/>
      <c r="AKW49" s="3"/>
      <c r="AKX49" s="3"/>
      <c r="AKY49" s="3"/>
      <c r="AKZ49" s="3"/>
      <c r="ALA49" s="3"/>
      <c r="ALB49" s="3"/>
      <c r="ALC49" s="3"/>
      <c r="ALD49" s="3"/>
      <c r="ALE49" s="3"/>
      <c r="ALF49" s="3"/>
      <c r="ALG49" s="3"/>
      <c r="ALH49" s="3"/>
      <c r="ALI49" s="3"/>
      <c r="ALJ49" s="3"/>
      <c r="ALK49" s="3"/>
      <c r="ALL49" s="3"/>
      <c r="ALM49" s="3"/>
      <c r="ALN49" s="3"/>
      <c r="ALO49" s="3"/>
      <c r="ALP49" s="3"/>
      <c r="ALQ49" s="3"/>
      <c r="ALR49" s="3"/>
      <c r="ALS49" s="3"/>
      <c r="ALT49" s="3"/>
      <c r="ALU49" s="3"/>
      <c r="ALV49" s="3"/>
      <c r="ALW49" s="3"/>
      <c r="ALX49" s="3"/>
      <c r="ALY49" s="3"/>
      <c r="ALZ49" s="3"/>
      <c r="AMA49" s="3"/>
      <c r="AMB49" s="3"/>
      <c r="AMC49" s="3"/>
      <c r="AMD49" s="3"/>
      <c r="AME49" s="3"/>
      <c r="AMF49" s="3"/>
      <c r="AMG49" s="3"/>
      <c r="AMH49" s="3"/>
      <c r="AMI49" s="3"/>
      <c r="AMJ49" s="3"/>
      <c r="AMK49" s="3"/>
      <c r="AML49" s="3"/>
      <c r="AMM49" s="3"/>
      <c r="AMN49" s="3"/>
      <c r="AMO49" s="3"/>
      <c r="AMP49" s="3"/>
      <c r="AMQ49" s="3"/>
      <c r="AMR49" s="3"/>
      <c r="AMS49" s="3"/>
      <c r="AMT49" s="3"/>
      <c r="AMU49" s="3"/>
      <c r="AMV49" s="3"/>
      <c r="AMW49" s="3"/>
      <c r="AMX49" s="3"/>
      <c r="AMY49" s="3"/>
      <c r="AMZ49" s="3"/>
      <c r="ANA49" s="3"/>
      <c r="ANB49" s="3"/>
      <c r="ANC49" s="3"/>
      <c r="AND49" s="3"/>
      <c r="ANE49" s="3"/>
      <c r="ANF49" s="3"/>
      <c r="ANG49" s="3"/>
      <c r="ANH49" s="3"/>
      <c r="ANI49" s="3"/>
      <c r="ANJ49" s="3"/>
      <c r="ANK49" s="3"/>
      <c r="ANL49" s="3"/>
      <c r="ANM49" s="3"/>
      <c r="ANN49" s="3"/>
      <c r="ANO49" s="3"/>
      <c r="ANP49" s="3"/>
      <c r="ANQ49" s="3"/>
      <c r="ANR49" s="3"/>
      <c r="ANS49" s="3"/>
      <c r="ANT49" s="3"/>
      <c r="ANU49" s="3"/>
      <c r="ANV49" s="3"/>
      <c r="ANW49" s="3"/>
      <c r="ANX49" s="3"/>
      <c r="ANY49" s="3"/>
      <c r="ANZ49" s="3"/>
      <c r="AOA49" s="3"/>
      <c r="AOB49" s="3"/>
      <c r="AOC49" s="3"/>
      <c r="AOD49" s="3"/>
      <c r="AOE49" s="3"/>
      <c r="AOF49" s="3"/>
      <c r="AOG49" s="3"/>
      <c r="AOH49" s="3"/>
      <c r="AOI49" s="3"/>
      <c r="AOJ49" s="3"/>
      <c r="AOK49" s="3"/>
      <c r="AOL49" s="3"/>
      <c r="AOM49" s="3"/>
      <c r="AON49" s="3"/>
      <c r="AOO49" s="3"/>
      <c r="AOP49" s="3"/>
      <c r="AOQ49" s="3"/>
      <c r="AOR49" s="3"/>
      <c r="AOS49" s="3"/>
      <c r="AOT49" s="3"/>
      <c r="AOU49" s="3"/>
      <c r="AOV49" s="3"/>
      <c r="AOW49" s="3"/>
      <c r="AOX49" s="3"/>
      <c r="AOY49" s="3"/>
      <c r="AOZ49" s="3"/>
      <c r="APA49" s="3"/>
      <c r="APB49" s="3"/>
      <c r="APC49" s="3"/>
      <c r="APD49" s="3"/>
      <c r="APE49" s="3"/>
      <c r="APF49" s="3"/>
      <c r="APG49" s="3"/>
      <c r="APH49" s="3"/>
      <c r="API49" s="3"/>
      <c r="APJ49" s="3"/>
      <c r="APK49" s="3"/>
      <c r="APL49" s="3"/>
      <c r="APM49" s="3"/>
      <c r="APN49" s="3"/>
      <c r="APO49" s="3"/>
      <c r="APP49" s="3"/>
      <c r="APQ49" s="3"/>
      <c r="APR49" s="3"/>
      <c r="APS49" s="3"/>
      <c r="APT49" s="3"/>
      <c r="APU49" s="3"/>
      <c r="APV49" s="3"/>
      <c r="APW49" s="3"/>
      <c r="APX49" s="3"/>
      <c r="APY49" s="3"/>
      <c r="APZ49" s="3"/>
      <c r="AQA49" s="3"/>
      <c r="AQB49" s="3"/>
      <c r="AQC49" s="3"/>
      <c r="AQD49" s="3"/>
      <c r="AQE49" s="3"/>
      <c r="AQF49" s="3"/>
      <c r="AQG49" s="3"/>
      <c r="AQH49" s="3"/>
      <c r="AQI49" s="3"/>
      <c r="AQJ49" s="3"/>
      <c r="AQK49" s="3"/>
      <c r="AQL49" s="3"/>
      <c r="AQM49" s="3"/>
      <c r="AQN49" s="3"/>
      <c r="AQO49" s="3"/>
      <c r="AQP49" s="3"/>
      <c r="AQQ49" s="3"/>
      <c r="AQR49" s="3"/>
      <c r="AQS49" s="3"/>
      <c r="AQT49" s="3"/>
      <c r="AQU49" s="3"/>
      <c r="AQV49" s="3"/>
      <c r="AQW49" s="3"/>
      <c r="AQX49" s="3"/>
      <c r="AQY49" s="3"/>
      <c r="AQZ49" s="3"/>
      <c r="ARA49" s="3"/>
      <c r="ARB49" s="3"/>
      <c r="ARC49" s="3"/>
      <c r="ARD49" s="3"/>
      <c r="ARE49" s="3"/>
      <c r="ARF49" s="3"/>
      <c r="ARG49" s="3"/>
      <c r="ARH49" s="3"/>
      <c r="ARI49" s="3"/>
      <c r="ARJ49" s="3"/>
      <c r="ARK49" s="3"/>
      <c r="ARL49" s="3"/>
      <c r="ARM49" s="3"/>
      <c r="ARN49" s="3"/>
      <c r="ARO49" s="3"/>
      <c r="ARP49" s="3"/>
      <c r="ARQ49" s="3"/>
      <c r="ARR49" s="3"/>
      <c r="ARS49" s="3"/>
      <c r="ART49" s="3"/>
      <c r="ARU49" s="3"/>
      <c r="ARV49" s="3"/>
      <c r="ARW49" s="3"/>
      <c r="ARX49" s="3"/>
      <c r="ARY49" s="3"/>
      <c r="ARZ49" s="3"/>
      <c r="ASA49" s="3"/>
      <c r="ASB49" s="3"/>
      <c r="ASC49" s="3"/>
      <c r="ASD49" s="3"/>
      <c r="ASE49" s="3"/>
      <c r="ASF49" s="3"/>
      <c r="ASG49" s="3"/>
      <c r="ASH49" s="3"/>
      <c r="ASI49" s="3"/>
      <c r="ASJ49" s="3"/>
      <c r="ASK49" s="3"/>
      <c r="ASL49" s="3"/>
      <c r="ASM49" s="3"/>
      <c r="ASN49" s="3"/>
      <c r="ASO49" s="3"/>
      <c r="ASP49" s="3"/>
      <c r="ASQ49" s="3"/>
      <c r="ASR49" s="3"/>
      <c r="ASS49" s="3"/>
      <c r="AST49" s="3"/>
      <c r="ASU49" s="3"/>
      <c r="ASV49" s="3"/>
      <c r="ASW49" s="3"/>
      <c r="ASX49" s="3"/>
      <c r="ASY49" s="3"/>
      <c r="ASZ49" s="3"/>
      <c r="ATA49" s="3"/>
      <c r="ATB49" s="3"/>
      <c r="ATC49" s="3"/>
      <c r="ATD49" s="3"/>
      <c r="ATE49" s="3"/>
      <c r="ATF49" s="3"/>
      <c r="ATG49" s="3"/>
      <c r="ATH49" s="3"/>
      <c r="ATI49" s="3"/>
      <c r="ATJ49" s="3"/>
      <c r="ATK49" s="3"/>
      <c r="ATL49" s="3"/>
      <c r="ATM49" s="3"/>
      <c r="ATN49" s="3"/>
      <c r="ATO49" s="3"/>
      <c r="ATP49" s="3"/>
      <c r="ATQ49" s="3"/>
      <c r="ATR49" s="3"/>
      <c r="ATS49" s="3"/>
      <c r="ATT49" s="3"/>
      <c r="ATU49" s="3"/>
      <c r="ATV49" s="3"/>
      <c r="ATW49" s="3"/>
      <c r="ATX49" s="3"/>
      <c r="ATY49" s="3"/>
      <c r="ATZ49" s="3"/>
      <c r="AUA49" s="3"/>
      <c r="AUB49" s="3"/>
      <c r="AUC49" s="3"/>
      <c r="AUD49" s="3"/>
      <c r="AUE49" s="3"/>
      <c r="AUF49" s="3"/>
      <c r="AUG49" s="3"/>
      <c r="AUH49" s="3"/>
      <c r="AUI49" s="3"/>
      <c r="AUJ49" s="3"/>
      <c r="AUK49" s="3"/>
      <c r="AUL49" s="3"/>
      <c r="AUM49" s="3"/>
      <c r="AUN49" s="3"/>
      <c r="AUO49" s="3"/>
      <c r="AUP49" s="3"/>
      <c r="AUQ49" s="3"/>
      <c r="AUR49" s="3"/>
      <c r="AUS49" s="3"/>
      <c r="AUT49" s="3"/>
      <c r="AUU49" s="3"/>
      <c r="AUV49" s="3"/>
      <c r="AUW49" s="3"/>
      <c r="AUX49" s="3"/>
      <c r="AUY49" s="3"/>
      <c r="AUZ49" s="3"/>
      <c r="AVA49" s="3"/>
      <c r="AVB49" s="3"/>
      <c r="AVC49" s="3"/>
      <c r="AVD49" s="3"/>
      <c r="AVE49" s="3"/>
      <c r="AVF49" s="3"/>
      <c r="AVG49" s="3"/>
      <c r="AVH49" s="3"/>
      <c r="AVI49" s="3"/>
      <c r="AVJ49" s="3"/>
      <c r="AVK49" s="3"/>
      <c r="AVL49" s="3"/>
      <c r="AVM49" s="3"/>
      <c r="AVN49" s="3"/>
      <c r="AVO49" s="3"/>
      <c r="AVP49" s="3"/>
      <c r="AVQ49" s="3"/>
      <c r="AVR49" s="3"/>
      <c r="AVS49" s="3"/>
      <c r="AVT49" s="3"/>
      <c r="AVU49" s="3"/>
      <c r="AVV49" s="3"/>
      <c r="AVW49" s="3"/>
      <c r="AVX49" s="3"/>
      <c r="AVY49" s="3"/>
      <c r="AVZ49" s="3"/>
      <c r="AWA49" s="3"/>
      <c r="AWB49" s="3"/>
      <c r="AWC49" s="3"/>
      <c r="AWD49" s="3"/>
      <c r="AWE49" s="3"/>
      <c r="AWF49" s="3"/>
      <c r="AWG49" s="3"/>
      <c r="AWH49" s="3"/>
      <c r="AWI49" s="3"/>
      <c r="AWJ49" s="3"/>
      <c r="AWK49" s="3"/>
      <c r="AWL49" s="3"/>
      <c r="AWM49" s="3"/>
      <c r="AWN49" s="3"/>
      <c r="AWO49" s="3"/>
      <c r="AWP49" s="3"/>
      <c r="AWQ49" s="3"/>
      <c r="AWR49" s="3"/>
      <c r="AWS49" s="3"/>
      <c r="AWT49" s="3"/>
      <c r="AWU49" s="3"/>
      <c r="AWV49" s="3"/>
      <c r="AWW49" s="3"/>
      <c r="AWX49" s="3"/>
      <c r="AWY49" s="3"/>
      <c r="AWZ49" s="3"/>
      <c r="AXA49" s="3"/>
      <c r="AXB49" s="3"/>
      <c r="AXC49" s="3"/>
      <c r="AXD49" s="3"/>
      <c r="AXE49" s="3"/>
      <c r="AXF49" s="3"/>
      <c r="AXG49" s="3"/>
      <c r="AXH49" s="3"/>
      <c r="AXI49" s="3"/>
      <c r="AXJ49" s="3"/>
      <c r="AXK49" s="3"/>
      <c r="AXL49" s="3"/>
      <c r="AXM49" s="3"/>
      <c r="AXN49" s="3"/>
      <c r="AXO49" s="3"/>
      <c r="AXP49" s="3"/>
      <c r="AXQ49" s="3"/>
      <c r="AXR49" s="3"/>
      <c r="AXS49" s="3"/>
      <c r="AXT49" s="3"/>
      <c r="AXU49" s="3"/>
      <c r="AXV49" s="3"/>
      <c r="AXW49" s="3"/>
      <c r="AXX49" s="3"/>
      <c r="AXY49" s="3"/>
      <c r="AXZ49" s="3"/>
      <c r="AYA49" s="3"/>
      <c r="AYB49" s="3"/>
      <c r="AYC49" s="3"/>
      <c r="AYD49" s="3"/>
      <c r="AYE49" s="3"/>
      <c r="AYF49" s="3"/>
      <c r="AYG49" s="3"/>
      <c r="AYH49" s="3"/>
      <c r="AYI49" s="3"/>
      <c r="AYJ49" s="3"/>
      <c r="AYK49" s="3"/>
      <c r="AYL49" s="3"/>
      <c r="AYM49" s="3"/>
      <c r="AYN49" s="3"/>
      <c r="AYO49" s="3"/>
      <c r="AYP49" s="3"/>
      <c r="AYQ49" s="3"/>
      <c r="AYR49" s="3"/>
      <c r="AYS49" s="3"/>
      <c r="AYT49" s="3"/>
      <c r="AYU49" s="3"/>
      <c r="AYV49" s="3"/>
      <c r="AYW49" s="3"/>
      <c r="AYX49" s="3"/>
      <c r="AYY49" s="3"/>
      <c r="AYZ49" s="3"/>
      <c r="AZA49" s="3"/>
      <c r="AZB49" s="3"/>
      <c r="AZC49" s="3"/>
      <c r="AZD49" s="3"/>
      <c r="AZE49" s="3"/>
      <c r="AZF49" s="3"/>
      <c r="AZG49" s="3"/>
      <c r="AZH49" s="3"/>
      <c r="AZI49" s="3"/>
      <c r="AZJ49" s="3"/>
      <c r="AZK49" s="3"/>
      <c r="AZL49" s="3"/>
      <c r="AZM49" s="3"/>
      <c r="AZN49" s="3"/>
      <c r="AZO49" s="3"/>
      <c r="AZP49" s="3"/>
      <c r="AZQ49" s="3"/>
      <c r="AZR49" s="3"/>
      <c r="AZS49" s="3"/>
      <c r="AZT49" s="3"/>
      <c r="AZU49" s="3"/>
      <c r="AZV49" s="3"/>
      <c r="AZW49" s="3"/>
      <c r="AZX49" s="3"/>
      <c r="AZY49" s="3"/>
      <c r="AZZ49" s="3"/>
      <c r="BAA49" s="3"/>
      <c r="BAB49" s="3"/>
      <c r="BAC49" s="3"/>
      <c r="BAD49" s="3"/>
      <c r="BAE49" s="3"/>
      <c r="BAF49" s="3"/>
      <c r="BAG49" s="3"/>
      <c r="BAH49" s="3"/>
      <c r="BAI49" s="3"/>
      <c r="BAJ49" s="3"/>
      <c r="BAK49" s="3"/>
      <c r="BAL49" s="3"/>
      <c r="BAM49" s="3"/>
      <c r="BAN49" s="3"/>
      <c r="BAO49" s="3"/>
      <c r="BAP49" s="3"/>
      <c r="BAQ49" s="3"/>
      <c r="BAR49" s="3"/>
      <c r="BAS49" s="3"/>
      <c r="BAT49" s="3"/>
      <c r="BAU49" s="3"/>
      <c r="BAV49" s="3"/>
      <c r="BAW49" s="3"/>
      <c r="BAX49" s="3"/>
      <c r="BAY49" s="3"/>
      <c r="BAZ49" s="3"/>
      <c r="BBA49" s="3"/>
      <c r="BBB49" s="3"/>
      <c r="BBC49" s="3"/>
      <c r="BBD49" s="3"/>
      <c r="BBE49" s="3"/>
      <c r="BBF49" s="3"/>
      <c r="BBG49" s="3"/>
      <c r="BBH49" s="3"/>
      <c r="BBI49" s="3"/>
      <c r="BBJ49" s="3"/>
      <c r="BBK49" s="3"/>
      <c r="BBL49" s="3"/>
      <c r="BBM49" s="3"/>
      <c r="BBN49" s="3"/>
      <c r="BBO49" s="3"/>
      <c r="BBP49" s="3"/>
      <c r="BBQ49" s="3"/>
      <c r="BBR49" s="3"/>
      <c r="BBS49" s="3"/>
      <c r="BBT49" s="3"/>
      <c r="BBU49" s="3"/>
      <c r="BBV49" s="3"/>
      <c r="BBW49" s="3"/>
      <c r="BBX49" s="3"/>
      <c r="BBY49" s="3"/>
      <c r="BBZ49" s="3"/>
      <c r="BCA49" s="3"/>
      <c r="BCB49" s="3"/>
      <c r="BCC49" s="3"/>
      <c r="BCD49" s="3"/>
      <c r="BCE49" s="3"/>
      <c r="BCF49" s="3"/>
      <c r="BCG49" s="3"/>
      <c r="BCH49" s="3"/>
      <c r="BCI49" s="3"/>
      <c r="BCJ49" s="3"/>
      <c r="BCK49" s="3"/>
      <c r="BCL49" s="3"/>
      <c r="BCM49" s="3"/>
      <c r="BCN49" s="3"/>
      <c r="BCO49" s="3"/>
      <c r="BCP49" s="3"/>
      <c r="BCQ49" s="3"/>
      <c r="BCR49" s="3"/>
      <c r="BCS49" s="3"/>
      <c r="BCT49" s="3"/>
      <c r="BCU49" s="3"/>
      <c r="BCV49" s="3"/>
      <c r="BCW49" s="3"/>
      <c r="BCX49" s="3"/>
      <c r="BCY49" s="3"/>
      <c r="BCZ49" s="3"/>
      <c r="BDA49" s="3"/>
      <c r="BDB49" s="3"/>
      <c r="BDC49" s="3"/>
      <c r="BDD49" s="3"/>
      <c r="BDE49" s="3"/>
      <c r="BDF49" s="3"/>
      <c r="BDG49" s="3"/>
      <c r="BDH49" s="3"/>
      <c r="BDI49" s="3"/>
      <c r="BDJ49" s="3"/>
      <c r="BDK49" s="3"/>
      <c r="BDL49" s="3"/>
      <c r="BDM49" s="3"/>
      <c r="BDN49" s="3"/>
      <c r="BDO49" s="3"/>
      <c r="BDP49" s="3"/>
      <c r="BDQ49" s="3"/>
      <c r="BDR49" s="3"/>
      <c r="BDS49" s="3"/>
      <c r="BDT49" s="3"/>
      <c r="BDU49" s="3"/>
      <c r="BDV49" s="3"/>
      <c r="BDW49" s="3"/>
      <c r="BDX49" s="3"/>
      <c r="BDY49" s="3"/>
      <c r="BDZ49" s="3"/>
      <c r="BEA49" s="3"/>
      <c r="BEB49" s="3"/>
      <c r="BEC49" s="3"/>
      <c r="BED49" s="3"/>
      <c r="BEE49" s="3"/>
      <c r="BEF49" s="3"/>
      <c r="BEG49" s="3"/>
      <c r="BEH49" s="3"/>
      <c r="BEI49" s="3"/>
      <c r="BEJ49" s="3"/>
      <c r="BEK49" s="3"/>
      <c r="BEL49" s="3"/>
      <c r="BEM49" s="3"/>
      <c r="BEN49" s="3"/>
      <c r="BEO49" s="3"/>
      <c r="BEP49" s="3"/>
      <c r="BEQ49" s="3"/>
      <c r="BER49" s="3"/>
      <c r="BES49" s="3"/>
      <c r="BET49" s="3"/>
      <c r="BEU49" s="3"/>
      <c r="BEV49" s="3"/>
      <c r="BEW49" s="3"/>
      <c r="BEX49" s="3"/>
      <c r="BEY49" s="3"/>
      <c r="BEZ49" s="3"/>
      <c r="BFA49" s="3"/>
      <c r="BFB49" s="3"/>
      <c r="BFC49" s="3"/>
      <c r="BFD49" s="3"/>
      <c r="BFE49" s="3"/>
      <c r="BFF49" s="3"/>
      <c r="BFG49" s="3"/>
      <c r="BFH49" s="3"/>
      <c r="BFI49" s="3"/>
      <c r="BFJ49" s="3"/>
      <c r="BFK49" s="3"/>
      <c r="BFL49" s="3"/>
      <c r="BFM49" s="3"/>
      <c r="BFN49" s="3"/>
      <c r="BFO49" s="3"/>
      <c r="BFP49" s="3"/>
      <c r="BFQ49" s="3"/>
      <c r="BFR49" s="3"/>
      <c r="BFS49" s="3"/>
      <c r="BFT49" s="3"/>
      <c r="BFU49" s="3"/>
      <c r="BFV49" s="3"/>
      <c r="BFW49" s="3"/>
      <c r="BFX49" s="3"/>
      <c r="BFY49" s="3"/>
      <c r="BFZ49" s="3"/>
      <c r="BGA49" s="3"/>
      <c r="BGB49" s="3"/>
      <c r="BGC49" s="3"/>
      <c r="BGD49" s="3"/>
      <c r="BGE49" s="3"/>
      <c r="BGF49" s="3"/>
      <c r="BGG49" s="3"/>
      <c r="BGH49" s="3"/>
      <c r="BGI49" s="3"/>
      <c r="BGJ49" s="3"/>
      <c r="BGK49" s="3"/>
      <c r="BGL49" s="3"/>
      <c r="BGM49" s="3"/>
      <c r="BGN49" s="3"/>
      <c r="BGO49" s="3"/>
      <c r="BGP49" s="3"/>
      <c r="BGQ49" s="3"/>
      <c r="BGR49" s="3"/>
      <c r="BGS49" s="3"/>
      <c r="BGT49" s="3"/>
      <c r="BGU49" s="3"/>
      <c r="BGV49" s="3"/>
      <c r="BGW49" s="3"/>
      <c r="BGX49" s="3"/>
      <c r="BGY49" s="3"/>
      <c r="BGZ49" s="3"/>
      <c r="BHA49" s="3"/>
      <c r="BHB49" s="3"/>
      <c r="BHC49" s="3"/>
      <c r="BHD49" s="3"/>
      <c r="BHE49" s="3"/>
      <c r="BHF49" s="3"/>
      <c r="BHG49" s="3"/>
      <c r="BHH49" s="3"/>
      <c r="BHI49" s="3"/>
      <c r="BHJ49" s="3"/>
      <c r="BHK49" s="3"/>
      <c r="BHL49" s="3"/>
      <c r="BHM49" s="3"/>
      <c r="BHN49" s="3"/>
      <c r="BHO49" s="3"/>
      <c r="BHP49" s="3"/>
      <c r="BHQ49" s="3"/>
      <c r="BHR49" s="3"/>
      <c r="BHS49" s="3"/>
      <c r="BHT49" s="3"/>
      <c r="BHU49" s="3"/>
      <c r="BHV49" s="3"/>
      <c r="BHW49" s="3"/>
      <c r="BHX49" s="3"/>
      <c r="BHY49" s="3"/>
      <c r="BHZ49" s="3"/>
      <c r="BIA49" s="3"/>
      <c r="BIB49" s="3"/>
      <c r="BIC49" s="3"/>
      <c r="BID49" s="3"/>
      <c r="BIE49" s="3"/>
      <c r="BIF49" s="3"/>
      <c r="BIG49" s="3"/>
      <c r="BIH49" s="3"/>
      <c r="BII49" s="3"/>
      <c r="BIJ49" s="3"/>
      <c r="BIK49" s="3"/>
      <c r="BIL49" s="3"/>
      <c r="BIM49" s="3"/>
      <c r="BIN49" s="3"/>
      <c r="BIO49" s="3"/>
      <c r="BIP49" s="3"/>
      <c r="BIQ49" s="3"/>
      <c r="BIR49" s="3"/>
      <c r="BIS49" s="3"/>
      <c r="BIT49" s="3"/>
      <c r="BIU49" s="3"/>
      <c r="BIV49" s="3"/>
      <c r="BIW49" s="3"/>
      <c r="BIX49" s="3"/>
      <c r="BIY49" s="3"/>
      <c r="BIZ49" s="3"/>
      <c r="BJA49" s="3"/>
      <c r="BJB49" s="3"/>
      <c r="BJC49" s="3"/>
      <c r="BJD49" s="3"/>
      <c r="BJE49" s="3"/>
      <c r="BJF49" s="3"/>
      <c r="BJG49" s="3"/>
      <c r="BJH49" s="3"/>
      <c r="BJI49" s="3"/>
      <c r="BJJ49" s="3"/>
      <c r="BJK49" s="3"/>
      <c r="BJL49" s="3"/>
      <c r="BJM49" s="3"/>
      <c r="BJN49" s="3"/>
      <c r="BJO49" s="3"/>
      <c r="BJP49" s="3"/>
      <c r="BJQ49" s="3"/>
      <c r="BJR49" s="3"/>
      <c r="BJS49" s="3"/>
      <c r="BJT49" s="3"/>
      <c r="BJU49" s="3"/>
      <c r="BJV49" s="3"/>
      <c r="BJW49" s="3"/>
      <c r="BJX49" s="3"/>
      <c r="BJY49" s="3"/>
      <c r="BJZ49" s="3"/>
      <c r="BKA49" s="3"/>
      <c r="BKB49" s="3"/>
      <c r="BKC49" s="3"/>
      <c r="BKD49" s="3"/>
      <c r="BKE49" s="3"/>
      <c r="BKF49" s="3"/>
      <c r="BKG49" s="3"/>
      <c r="BKH49" s="3"/>
      <c r="BKI49" s="3"/>
      <c r="BKJ49" s="3"/>
      <c r="BKK49" s="3"/>
      <c r="BKL49" s="3"/>
      <c r="BKM49" s="3"/>
      <c r="BKN49" s="3"/>
      <c r="BKO49" s="3"/>
      <c r="BKP49" s="3"/>
      <c r="BKQ49" s="3"/>
      <c r="BKR49" s="3"/>
      <c r="BKS49" s="3"/>
      <c r="BKT49" s="3"/>
      <c r="BKU49" s="3"/>
      <c r="BKV49" s="3"/>
      <c r="BKW49" s="3"/>
      <c r="BKX49" s="3"/>
      <c r="BKY49" s="3"/>
      <c r="BKZ49" s="3"/>
      <c r="BLA49" s="3"/>
      <c r="BLB49" s="3"/>
      <c r="BLC49" s="3"/>
      <c r="BLD49" s="3"/>
      <c r="BLE49" s="3"/>
      <c r="BLF49" s="3"/>
      <c r="BLG49" s="3"/>
      <c r="BLH49" s="3"/>
      <c r="BLI49" s="3"/>
      <c r="BLJ49" s="3"/>
      <c r="BLK49" s="3"/>
      <c r="BLL49" s="3"/>
      <c r="BLM49" s="3"/>
      <c r="BLN49" s="3"/>
      <c r="BLO49" s="3"/>
      <c r="BLP49" s="3"/>
      <c r="BLQ49" s="3"/>
      <c r="BLR49" s="3"/>
      <c r="BLS49" s="3"/>
      <c r="BLT49" s="3"/>
      <c r="BLU49" s="3"/>
      <c r="BLV49" s="3"/>
      <c r="BLW49" s="3"/>
      <c r="BLX49" s="3"/>
      <c r="BLY49" s="3"/>
      <c r="BLZ49" s="3"/>
      <c r="BMA49" s="3"/>
      <c r="BMB49" s="3"/>
      <c r="BMC49" s="3"/>
      <c r="BMD49" s="3"/>
      <c r="BME49" s="3"/>
      <c r="BMF49" s="3"/>
      <c r="BMG49" s="3"/>
      <c r="BMH49" s="3"/>
      <c r="BMI49" s="3"/>
      <c r="BMJ49" s="3"/>
      <c r="BMK49" s="3"/>
      <c r="BML49" s="3"/>
      <c r="BMM49" s="3"/>
      <c r="BMN49" s="3"/>
      <c r="BMO49" s="3"/>
      <c r="BMP49" s="3"/>
      <c r="BMQ49" s="3"/>
      <c r="BMR49" s="3"/>
      <c r="BMS49" s="3"/>
      <c r="BMT49" s="3"/>
      <c r="BMU49" s="3"/>
      <c r="BMV49" s="3"/>
      <c r="BMW49" s="3"/>
      <c r="BMX49" s="3"/>
      <c r="BMY49" s="3"/>
      <c r="BMZ49" s="3"/>
      <c r="BNA49" s="3"/>
      <c r="BNB49" s="3"/>
      <c r="BNC49" s="3"/>
      <c r="BND49" s="3"/>
      <c r="BNE49" s="3"/>
      <c r="BNF49" s="3"/>
      <c r="BNG49" s="3"/>
      <c r="BNH49" s="3"/>
      <c r="BNI49" s="3"/>
      <c r="BNJ49" s="3"/>
      <c r="BNK49" s="3"/>
      <c r="BNL49" s="3"/>
      <c r="BNM49" s="3"/>
      <c r="BNN49" s="3"/>
      <c r="BNO49" s="3"/>
      <c r="BNP49" s="3"/>
      <c r="BNQ49" s="3"/>
      <c r="BNR49" s="3"/>
      <c r="BNS49" s="3"/>
      <c r="BNT49" s="3"/>
      <c r="BNU49" s="3"/>
      <c r="BNV49" s="3"/>
      <c r="BNW49" s="3"/>
      <c r="BNX49" s="3"/>
      <c r="BNY49" s="3"/>
      <c r="BNZ49" s="3"/>
      <c r="BOA49" s="3"/>
      <c r="BOB49" s="3"/>
      <c r="BOC49" s="3"/>
      <c r="BOD49" s="3"/>
      <c r="BOE49" s="3"/>
      <c r="BOF49" s="3"/>
      <c r="BOG49" s="3"/>
      <c r="BOH49" s="3"/>
      <c r="BOI49" s="3"/>
      <c r="BOJ49" s="3"/>
      <c r="BOK49" s="3"/>
      <c r="BOL49" s="3"/>
      <c r="BOM49" s="3"/>
      <c r="BON49" s="3"/>
      <c r="BOO49" s="3"/>
      <c r="BOP49" s="3"/>
      <c r="BOQ49" s="3"/>
      <c r="BOR49" s="3"/>
      <c r="BOS49" s="3"/>
      <c r="BOT49" s="3"/>
      <c r="BOU49" s="3"/>
      <c r="BOV49" s="3"/>
      <c r="BOW49" s="3"/>
      <c r="BOX49" s="3"/>
      <c r="BOY49" s="3"/>
      <c r="BOZ49" s="3"/>
      <c r="BPA49" s="3"/>
      <c r="BPB49" s="3"/>
      <c r="BPC49" s="3"/>
      <c r="BPD49" s="3"/>
      <c r="BPE49" s="3"/>
      <c r="BPF49" s="3"/>
      <c r="BPG49" s="3"/>
      <c r="BPH49" s="3"/>
      <c r="BPI49" s="3"/>
      <c r="BPJ49" s="3"/>
      <c r="BPK49" s="3"/>
      <c r="BPL49" s="3"/>
      <c r="BPM49" s="3"/>
      <c r="BPN49" s="3"/>
      <c r="BPO49" s="3"/>
      <c r="BPP49" s="3"/>
      <c r="BPQ49" s="3"/>
      <c r="BPR49" s="3"/>
      <c r="BPS49" s="3"/>
      <c r="BPT49" s="3"/>
      <c r="BPU49" s="3"/>
      <c r="BPV49" s="3"/>
      <c r="BPW49" s="3"/>
      <c r="BPX49" s="3"/>
      <c r="BPY49" s="3"/>
      <c r="BPZ49" s="3"/>
      <c r="BQA49" s="3"/>
      <c r="BQB49" s="3"/>
      <c r="BQC49" s="3"/>
      <c r="BQD49" s="3"/>
      <c r="BQE49" s="3"/>
      <c r="BQF49" s="3"/>
      <c r="BQG49" s="3"/>
      <c r="BQH49" s="3"/>
      <c r="BQI49" s="3"/>
      <c r="BQJ49" s="3"/>
      <c r="BQK49" s="3"/>
      <c r="BQL49" s="3"/>
      <c r="BQM49" s="3"/>
      <c r="BQN49" s="3"/>
      <c r="BQO49" s="3"/>
      <c r="BQP49" s="3"/>
      <c r="BQQ49" s="3"/>
      <c r="BQR49" s="3"/>
      <c r="BQS49" s="3"/>
      <c r="BQT49" s="3"/>
      <c r="BQU49" s="3"/>
      <c r="BQV49" s="3"/>
      <c r="BQW49" s="3"/>
      <c r="BQX49" s="3"/>
      <c r="BQY49" s="3"/>
      <c r="BQZ49" s="3"/>
      <c r="BRA49" s="3"/>
      <c r="BRB49" s="3"/>
      <c r="BRC49" s="3"/>
      <c r="BRD49" s="3"/>
      <c r="BRE49" s="3"/>
      <c r="BRF49" s="3"/>
      <c r="BRG49" s="3"/>
      <c r="BRH49" s="3"/>
      <c r="BRI49" s="3"/>
      <c r="BRJ49" s="3"/>
      <c r="BRK49" s="3"/>
      <c r="BRL49" s="3"/>
      <c r="BRM49" s="3"/>
      <c r="BRN49" s="3"/>
      <c r="BRO49" s="3"/>
      <c r="BRP49" s="3"/>
      <c r="BRQ49" s="3"/>
      <c r="BRR49" s="3"/>
      <c r="BRS49" s="3"/>
      <c r="BRT49" s="3"/>
      <c r="BRU49" s="3"/>
      <c r="BRV49" s="3"/>
      <c r="BRW49" s="3"/>
      <c r="BRX49" s="3"/>
      <c r="BRY49" s="3"/>
      <c r="BRZ49" s="3"/>
      <c r="BSA49" s="3"/>
      <c r="BSB49" s="3"/>
      <c r="BSC49" s="3"/>
      <c r="BSD49" s="3"/>
      <c r="BSE49" s="3"/>
      <c r="BSF49" s="3"/>
      <c r="BSG49" s="3"/>
      <c r="BSH49" s="3"/>
      <c r="BSI49" s="3"/>
      <c r="BSJ49" s="3"/>
      <c r="BSK49" s="3"/>
      <c r="BSL49" s="3"/>
      <c r="BSM49" s="3"/>
      <c r="BSN49" s="3"/>
      <c r="BSO49" s="3"/>
      <c r="BSP49" s="3"/>
      <c r="BSQ49" s="3"/>
      <c r="BSR49" s="3"/>
      <c r="BSS49" s="3"/>
      <c r="BST49" s="3"/>
      <c r="BSU49" s="3"/>
      <c r="BSV49" s="3"/>
      <c r="BSW49" s="3"/>
      <c r="BSX49" s="3"/>
      <c r="BSY49" s="3"/>
      <c r="BSZ49" s="3"/>
      <c r="BTA49" s="3"/>
      <c r="BTB49" s="3"/>
      <c r="BTC49" s="3"/>
      <c r="BTD49" s="3"/>
      <c r="BTE49" s="3"/>
      <c r="BTF49" s="3"/>
      <c r="BTG49" s="3"/>
      <c r="BTH49" s="3"/>
      <c r="BTI49" s="3"/>
      <c r="BTJ49" s="3"/>
      <c r="BTK49" s="3"/>
      <c r="BTL49" s="3"/>
      <c r="BTM49" s="3"/>
      <c r="BTN49" s="3"/>
      <c r="BTO49" s="3"/>
      <c r="BTP49" s="3"/>
      <c r="BTQ49" s="3"/>
      <c r="BTR49" s="3"/>
      <c r="BTS49" s="3"/>
      <c r="BTT49" s="3"/>
      <c r="BTU49" s="3"/>
      <c r="BTV49" s="3"/>
      <c r="BTW49" s="3"/>
      <c r="BTX49" s="3"/>
      <c r="BTY49" s="3"/>
      <c r="BTZ49" s="3"/>
      <c r="BUA49" s="3"/>
      <c r="BUB49" s="3"/>
      <c r="BUC49" s="3"/>
      <c r="BUD49" s="3"/>
      <c r="BUE49" s="3"/>
      <c r="BUF49" s="3"/>
      <c r="BUG49" s="3"/>
      <c r="BUH49" s="3"/>
      <c r="BUI49" s="3"/>
      <c r="BUJ49" s="3"/>
      <c r="BUK49" s="3"/>
      <c r="BUL49" s="3"/>
      <c r="BUM49" s="3"/>
      <c r="BUN49" s="3"/>
      <c r="BUO49" s="3"/>
      <c r="BUP49" s="3"/>
      <c r="BUQ49" s="3"/>
      <c r="BUR49" s="3"/>
      <c r="BUS49" s="3"/>
      <c r="BUT49" s="3"/>
      <c r="BUU49" s="3"/>
      <c r="BUV49" s="3"/>
      <c r="BUW49" s="3"/>
      <c r="BUX49" s="3"/>
      <c r="BUY49" s="3"/>
      <c r="BUZ49" s="3"/>
      <c r="BVA49" s="3"/>
      <c r="BVB49" s="3"/>
      <c r="BVC49" s="3"/>
      <c r="BVD49" s="3"/>
      <c r="BVE49" s="3"/>
      <c r="BVF49" s="3"/>
      <c r="BVG49" s="3"/>
      <c r="BVH49" s="3"/>
      <c r="BVI49" s="3"/>
      <c r="BVJ49" s="3"/>
      <c r="BVK49" s="3"/>
      <c r="BVL49" s="3"/>
      <c r="BVM49" s="3"/>
      <c r="BVN49" s="3"/>
      <c r="BVO49" s="3"/>
      <c r="BVP49" s="3"/>
      <c r="BVQ49" s="3"/>
      <c r="BVR49" s="3"/>
      <c r="BVS49" s="3"/>
      <c r="BVT49" s="3"/>
      <c r="BVU49" s="3"/>
      <c r="BVV49" s="3"/>
      <c r="BVW49" s="3"/>
      <c r="BVX49" s="3"/>
      <c r="BVY49" s="3"/>
      <c r="BVZ49" s="3"/>
      <c r="BWA49" s="3"/>
      <c r="BWB49" s="3"/>
      <c r="BWC49" s="3"/>
      <c r="BWD49" s="3"/>
      <c r="BWE49" s="3"/>
      <c r="BWF49" s="3"/>
      <c r="BWG49" s="3"/>
      <c r="BWH49" s="3"/>
      <c r="BWI49" s="3"/>
      <c r="BWJ49" s="3"/>
      <c r="BWK49" s="3"/>
      <c r="BWL49" s="3"/>
      <c r="BWM49" s="3"/>
      <c r="BWN49" s="3"/>
      <c r="BWO49" s="3"/>
      <c r="BWP49" s="3"/>
      <c r="BWQ49" s="3"/>
      <c r="BWR49" s="3"/>
      <c r="BWS49" s="3"/>
      <c r="BWT49" s="3"/>
      <c r="BWU49" s="3"/>
      <c r="BWV49" s="3"/>
      <c r="BWW49" s="3"/>
      <c r="BWX49" s="3"/>
      <c r="BWY49" s="3"/>
      <c r="BWZ49" s="3"/>
      <c r="BXA49" s="3"/>
      <c r="BXB49" s="3"/>
      <c r="BXC49" s="3"/>
      <c r="BXD49" s="3"/>
      <c r="BXE49" s="3"/>
      <c r="BXF49" s="3"/>
      <c r="BXG49" s="3"/>
      <c r="BXH49" s="3"/>
      <c r="BXI49" s="3"/>
      <c r="BXJ49" s="3"/>
      <c r="BXK49" s="3"/>
      <c r="BXL49" s="3"/>
      <c r="BXM49" s="3"/>
      <c r="BXN49" s="3"/>
      <c r="BXO49" s="3"/>
      <c r="BXP49" s="3"/>
      <c r="BXQ49" s="3"/>
      <c r="BXR49" s="3"/>
      <c r="BXS49" s="3"/>
      <c r="BXT49" s="3"/>
      <c r="BXU49" s="3"/>
      <c r="BXV49" s="3"/>
      <c r="BXW49" s="3"/>
      <c r="BXX49" s="3"/>
      <c r="BXY49" s="3"/>
      <c r="BXZ49" s="3"/>
      <c r="BYA49" s="3"/>
      <c r="BYB49" s="3"/>
      <c r="BYC49" s="3"/>
      <c r="BYD49" s="3"/>
      <c r="BYE49" s="3"/>
      <c r="BYF49" s="3"/>
      <c r="BYG49" s="3"/>
    </row>
    <row r="50" spans="1:2009" s="87" customFormat="1" ht="24.95" customHeight="1" x14ac:dyDescent="0.25">
      <c r="A50" s="309"/>
      <c r="B50" s="489" t="s">
        <v>669</v>
      </c>
      <c r="C50" s="370">
        <v>12132.37</v>
      </c>
      <c r="D50" s="490"/>
      <c r="E50" s="370"/>
      <c r="F50" s="370"/>
      <c r="G50" s="528">
        <f>ROUND(SUM(C50:F50),5)</f>
        <v>12132.37</v>
      </c>
      <c r="H50" s="3"/>
      <c r="I50" s="26"/>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c r="AJY50" s="3"/>
      <c r="AJZ50" s="3"/>
      <c r="AKA50" s="3"/>
      <c r="AKB50" s="3"/>
      <c r="AKC50" s="3"/>
      <c r="AKD50" s="3"/>
      <c r="AKE50" s="3"/>
      <c r="AKF50" s="3"/>
      <c r="AKG50" s="3"/>
      <c r="AKH50" s="3"/>
      <c r="AKI50" s="3"/>
      <c r="AKJ50" s="3"/>
      <c r="AKK50" s="3"/>
      <c r="AKL50" s="3"/>
      <c r="AKM50" s="3"/>
      <c r="AKN50" s="3"/>
      <c r="AKO50" s="3"/>
      <c r="AKP50" s="3"/>
      <c r="AKQ50" s="3"/>
      <c r="AKR50" s="3"/>
      <c r="AKS50" s="3"/>
      <c r="AKT50" s="3"/>
      <c r="AKU50" s="3"/>
      <c r="AKV50" s="3"/>
      <c r="AKW50" s="3"/>
      <c r="AKX50" s="3"/>
      <c r="AKY50" s="3"/>
      <c r="AKZ50" s="3"/>
      <c r="ALA50" s="3"/>
      <c r="ALB50" s="3"/>
      <c r="ALC50" s="3"/>
      <c r="ALD50" s="3"/>
      <c r="ALE50" s="3"/>
      <c r="ALF50" s="3"/>
      <c r="ALG50" s="3"/>
      <c r="ALH50" s="3"/>
      <c r="ALI50" s="3"/>
      <c r="ALJ50" s="3"/>
      <c r="ALK50" s="3"/>
      <c r="ALL50" s="3"/>
      <c r="ALM50" s="3"/>
      <c r="ALN50" s="3"/>
      <c r="ALO50" s="3"/>
      <c r="ALP50" s="3"/>
      <c r="ALQ50" s="3"/>
      <c r="ALR50" s="3"/>
      <c r="ALS50" s="3"/>
      <c r="ALT50" s="3"/>
      <c r="ALU50" s="3"/>
      <c r="ALV50" s="3"/>
      <c r="ALW50" s="3"/>
      <c r="ALX50" s="3"/>
      <c r="ALY50" s="3"/>
      <c r="ALZ50" s="3"/>
      <c r="AMA50" s="3"/>
      <c r="AMB50" s="3"/>
      <c r="AMC50" s="3"/>
      <c r="AMD50" s="3"/>
      <c r="AME50" s="3"/>
      <c r="AMF50" s="3"/>
      <c r="AMG50" s="3"/>
      <c r="AMH50" s="3"/>
      <c r="AMI50" s="3"/>
      <c r="AMJ50" s="3"/>
      <c r="AMK50" s="3"/>
      <c r="AML50" s="3"/>
      <c r="AMM50" s="3"/>
      <c r="AMN50" s="3"/>
      <c r="AMO50" s="3"/>
      <c r="AMP50" s="3"/>
      <c r="AMQ50" s="3"/>
      <c r="AMR50" s="3"/>
      <c r="AMS50" s="3"/>
      <c r="AMT50" s="3"/>
      <c r="AMU50" s="3"/>
      <c r="AMV50" s="3"/>
      <c r="AMW50" s="3"/>
      <c r="AMX50" s="3"/>
      <c r="AMY50" s="3"/>
      <c r="AMZ50" s="3"/>
      <c r="ANA50" s="3"/>
      <c r="ANB50" s="3"/>
      <c r="ANC50" s="3"/>
      <c r="AND50" s="3"/>
      <c r="ANE50" s="3"/>
      <c r="ANF50" s="3"/>
      <c r="ANG50" s="3"/>
      <c r="ANH50" s="3"/>
      <c r="ANI50" s="3"/>
      <c r="ANJ50" s="3"/>
      <c r="ANK50" s="3"/>
      <c r="ANL50" s="3"/>
      <c r="ANM50" s="3"/>
      <c r="ANN50" s="3"/>
      <c r="ANO50" s="3"/>
      <c r="ANP50" s="3"/>
      <c r="ANQ50" s="3"/>
      <c r="ANR50" s="3"/>
      <c r="ANS50" s="3"/>
      <c r="ANT50" s="3"/>
      <c r="ANU50" s="3"/>
      <c r="ANV50" s="3"/>
      <c r="ANW50" s="3"/>
      <c r="ANX50" s="3"/>
      <c r="ANY50" s="3"/>
      <c r="ANZ50" s="3"/>
      <c r="AOA50" s="3"/>
      <c r="AOB50" s="3"/>
      <c r="AOC50" s="3"/>
      <c r="AOD50" s="3"/>
      <c r="AOE50" s="3"/>
      <c r="AOF50" s="3"/>
      <c r="AOG50" s="3"/>
      <c r="AOH50" s="3"/>
      <c r="AOI50" s="3"/>
      <c r="AOJ50" s="3"/>
      <c r="AOK50" s="3"/>
      <c r="AOL50" s="3"/>
      <c r="AOM50" s="3"/>
      <c r="AON50" s="3"/>
      <c r="AOO50" s="3"/>
      <c r="AOP50" s="3"/>
      <c r="AOQ50" s="3"/>
      <c r="AOR50" s="3"/>
      <c r="AOS50" s="3"/>
      <c r="AOT50" s="3"/>
      <c r="AOU50" s="3"/>
      <c r="AOV50" s="3"/>
      <c r="AOW50" s="3"/>
      <c r="AOX50" s="3"/>
      <c r="AOY50" s="3"/>
      <c r="AOZ50" s="3"/>
      <c r="APA50" s="3"/>
      <c r="APB50" s="3"/>
      <c r="APC50" s="3"/>
      <c r="APD50" s="3"/>
      <c r="APE50" s="3"/>
      <c r="APF50" s="3"/>
      <c r="APG50" s="3"/>
      <c r="APH50" s="3"/>
      <c r="API50" s="3"/>
      <c r="APJ50" s="3"/>
      <c r="APK50" s="3"/>
      <c r="APL50" s="3"/>
      <c r="APM50" s="3"/>
      <c r="APN50" s="3"/>
      <c r="APO50" s="3"/>
      <c r="APP50" s="3"/>
      <c r="APQ50" s="3"/>
      <c r="APR50" s="3"/>
      <c r="APS50" s="3"/>
      <c r="APT50" s="3"/>
      <c r="APU50" s="3"/>
      <c r="APV50" s="3"/>
      <c r="APW50" s="3"/>
      <c r="APX50" s="3"/>
      <c r="APY50" s="3"/>
      <c r="APZ50" s="3"/>
      <c r="AQA50" s="3"/>
      <c r="AQB50" s="3"/>
      <c r="AQC50" s="3"/>
      <c r="AQD50" s="3"/>
      <c r="AQE50" s="3"/>
      <c r="AQF50" s="3"/>
      <c r="AQG50" s="3"/>
      <c r="AQH50" s="3"/>
      <c r="AQI50" s="3"/>
      <c r="AQJ50" s="3"/>
      <c r="AQK50" s="3"/>
      <c r="AQL50" s="3"/>
      <c r="AQM50" s="3"/>
      <c r="AQN50" s="3"/>
      <c r="AQO50" s="3"/>
      <c r="AQP50" s="3"/>
      <c r="AQQ50" s="3"/>
      <c r="AQR50" s="3"/>
      <c r="AQS50" s="3"/>
      <c r="AQT50" s="3"/>
      <c r="AQU50" s="3"/>
      <c r="AQV50" s="3"/>
      <c r="AQW50" s="3"/>
      <c r="AQX50" s="3"/>
      <c r="AQY50" s="3"/>
      <c r="AQZ50" s="3"/>
      <c r="ARA50" s="3"/>
      <c r="ARB50" s="3"/>
      <c r="ARC50" s="3"/>
      <c r="ARD50" s="3"/>
      <c r="ARE50" s="3"/>
      <c r="ARF50" s="3"/>
      <c r="ARG50" s="3"/>
      <c r="ARH50" s="3"/>
      <c r="ARI50" s="3"/>
      <c r="ARJ50" s="3"/>
      <c r="ARK50" s="3"/>
      <c r="ARL50" s="3"/>
      <c r="ARM50" s="3"/>
      <c r="ARN50" s="3"/>
      <c r="ARO50" s="3"/>
      <c r="ARP50" s="3"/>
      <c r="ARQ50" s="3"/>
      <c r="ARR50" s="3"/>
      <c r="ARS50" s="3"/>
      <c r="ART50" s="3"/>
      <c r="ARU50" s="3"/>
      <c r="ARV50" s="3"/>
      <c r="ARW50" s="3"/>
      <c r="ARX50" s="3"/>
      <c r="ARY50" s="3"/>
      <c r="ARZ50" s="3"/>
      <c r="ASA50" s="3"/>
      <c r="ASB50" s="3"/>
      <c r="ASC50" s="3"/>
      <c r="ASD50" s="3"/>
      <c r="ASE50" s="3"/>
      <c r="ASF50" s="3"/>
      <c r="ASG50" s="3"/>
      <c r="ASH50" s="3"/>
      <c r="ASI50" s="3"/>
      <c r="ASJ50" s="3"/>
      <c r="ASK50" s="3"/>
      <c r="ASL50" s="3"/>
      <c r="ASM50" s="3"/>
      <c r="ASN50" s="3"/>
      <c r="ASO50" s="3"/>
      <c r="ASP50" s="3"/>
      <c r="ASQ50" s="3"/>
      <c r="ASR50" s="3"/>
      <c r="ASS50" s="3"/>
      <c r="AST50" s="3"/>
      <c r="ASU50" s="3"/>
      <c r="ASV50" s="3"/>
      <c r="ASW50" s="3"/>
      <c r="ASX50" s="3"/>
      <c r="ASY50" s="3"/>
      <c r="ASZ50" s="3"/>
      <c r="ATA50" s="3"/>
      <c r="ATB50" s="3"/>
      <c r="ATC50" s="3"/>
      <c r="ATD50" s="3"/>
      <c r="ATE50" s="3"/>
      <c r="ATF50" s="3"/>
      <c r="ATG50" s="3"/>
      <c r="ATH50" s="3"/>
      <c r="ATI50" s="3"/>
      <c r="ATJ50" s="3"/>
      <c r="ATK50" s="3"/>
      <c r="ATL50" s="3"/>
      <c r="ATM50" s="3"/>
      <c r="ATN50" s="3"/>
      <c r="ATO50" s="3"/>
      <c r="ATP50" s="3"/>
      <c r="ATQ50" s="3"/>
      <c r="ATR50" s="3"/>
      <c r="ATS50" s="3"/>
      <c r="ATT50" s="3"/>
      <c r="ATU50" s="3"/>
      <c r="ATV50" s="3"/>
      <c r="ATW50" s="3"/>
      <c r="ATX50" s="3"/>
      <c r="ATY50" s="3"/>
      <c r="ATZ50" s="3"/>
      <c r="AUA50" s="3"/>
      <c r="AUB50" s="3"/>
      <c r="AUC50" s="3"/>
      <c r="AUD50" s="3"/>
      <c r="AUE50" s="3"/>
      <c r="AUF50" s="3"/>
      <c r="AUG50" s="3"/>
      <c r="AUH50" s="3"/>
      <c r="AUI50" s="3"/>
      <c r="AUJ50" s="3"/>
      <c r="AUK50" s="3"/>
      <c r="AUL50" s="3"/>
      <c r="AUM50" s="3"/>
      <c r="AUN50" s="3"/>
      <c r="AUO50" s="3"/>
      <c r="AUP50" s="3"/>
      <c r="AUQ50" s="3"/>
      <c r="AUR50" s="3"/>
      <c r="AUS50" s="3"/>
      <c r="AUT50" s="3"/>
      <c r="AUU50" s="3"/>
      <c r="AUV50" s="3"/>
      <c r="AUW50" s="3"/>
      <c r="AUX50" s="3"/>
      <c r="AUY50" s="3"/>
      <c r="AUZ50" s="3"/>
      <c r="AVA50" s="3"/>
      <c r="AVB50" s="3"/>
      <c r="AVC50" s="3"/>
      <c r="AVD50" s="3"/>
      <c r="AVE50" s="3"/>
      <c r="AVF50" s="3"/>
      <c r="AVG50" s="3"/>
      <c r="AVH50" s="3"/>
      <c r="AVI50" s="3"/>
      <c r="AVJ50" s="3"/>
      <c r="AVK50" s="3"/>
      <c r="AVL50" s="3"/>
      <c r="AVM50" s="3"/>
      <c r="AVN50" s="3"/>
      <c r="AVO50" s="3"/>
      <c r="AVP50" s="3"/>
      <c r="AVQ50" s="3"/>
      <c r="AVR50" s="3"/>
      <c r="AVS50" s="3"/>
      <c r="AVT50" s="3"/>
      <c r="AVU50" s="3"/>
      <c r="AVV50" s="3"/>
      <c r="AVW50" s="3"/>
      <c r="AVX50" s="3"/>
      <c r="AVY50" s="3"/>
      <c r="AVZ50" s="3"/>
      <c r="AWA50" s="3"/>
      <c r="AWB50" s="3"/>
      <c r="AWC50" s="3"/>
      <c r="AWD50" s="3"/>
      <c r="AWE50" s="3"/>
      <c r="AWF50" s="3"/>
      <c r="AWG50" s="3"/>
      <c r="AWH50" s="3"/>
      <c r="AWI50" s="3"/>
      <c r="AWJ50" s="3"/>
      <c r="AWK50" s="3"/>
      <c r="AWL50" s="3"/>
      <c r="AWM50" s="3"/>
      <c r="AWN50" s="3"/>
      <c r="AWO50" s="3"/>
      <c r="AWP50" s="3"/>
      <c r="AWQ50" s="3"/>
      <c r="AWR50" s="3"/>
      <c r="AWS50" s="3"/>
      <c r="AWT50" s="3"/>
      <c r="AWU50" s="3"/>
      <c r="AWV50" s="3"/>
      <c r="AWW50" s="3"/>
      <c r="AWX50" s="3"/>
      <c r="AWY50" s="3"/>
      <c r="AWZ50" s="3"/>
      <c r="AXA50" s="3"/>
      <c r="AXB50" s="3"/>
      <c r="AXC50" s="3"/>
      <c r="AXD50" s="3"/>
      <c r="AXE50" s="3"/>
      <c r="AXF50" s="3"/>
      <c r="AXG50" s="3"/>
      <c r="AXH50" s="3"/>
      <c r="AXI50" s="3"/>
      <c r="AXJ50" s="3"/>
      <c r="AXK50" s="3"/>
      <c r="AXL50" s="3"/>
      <c r="AXM50" s="3"/>
      <c r="AXN50" s="3"/>
      <c r="AXO50" s="3"/>
      <c r="AXP50" s="3"/>
      <c r="AXQ50" s="3"/>
      <c r="AXR50" s="3"/>
      <c r="AXS50" s="3"/>
      <c r="AXT50" s="3"/>
      <c r="AXU50" s="3"/>
      <c r="AXV50" s="3"/>
      <c r="AXW50" s="3"/>
      <c r="AXX50" s="3"/>
      <c r="AXY50" s="3"/>
      <c r="AXZ50" s="3"/>
      <c r="AYA50" s="3"/>
      <c r="AYB50" s="3"/>
      <c r="AYC50" s="3"/>
      <c r="AYD50" s="3"/>
      <c r="AYE50" s="3"/>
      <c r="AYF50" s="3"/>
      <c r="AYG50" s="3"/>
      <c r="AYH50" s="3"/>
      <c r="AYI50" s="3"/>
      <c r="AYJ50" s="3"/>
      <c r="AYK50" s="3"/>
      <c r="AYL50" s="3"/>
      <c r="AYM50" s="3"/>
      <c r="AYN50" s="3"/>
      <c r="AYO50" s="3"/>
      <c r="AYP50" s="3"/>
      <c r="AYQ50" s="3"/>
      <c r="AYR50" s="3"/>
      <c r="AYS50" s="3"/>
      <c r="AYT50" s="3"/>
      <c r="AYU50" s="3"/>
      <c r="AYV50" s="3"/>
      <c r="AYW50" s="3"/>
      <c r="AYX50" s="3"/>
      <c r="AYY50" s="3"/>
      <c r="AYZ50" s="3"/>
      <c r="AZA50" s="3"/>
      <c r="AZB50" s="3"/>
      <c r="AZC50" s="3"/>
      <c r="AZD50" s="3"/>
      <c r="AZE50" s="3"/>
      <c r="AZF50" s="3"/>
      <c r="AZG50" s="3"/>
      <c r="AZH50" s="3"/>
      <c r="AZI50" s="3"/>
      <c r="AZJ50" s="3"/>
      <c r="AZK50" s="3"/>
      <c r="AZL50" s="3"/>
      <c r="AZM50" s="3"/>
      <c r="AZN50" s="3"/>
      <c r="AZO50" s="3"/>
      <c r="AZP50" s="3"/>
      <c r="AZQ50" s="3"/>
      <c r="AZR50" s="3"/>
      <c r="AZS50" s="3"/>
      <c r="AZT50" s="3"/>
      <c r="AZU50" s="3"/>
      <c r="AZV50" s="3"/>
      <c r="AZW50" s="3"/>
      <c r="AZX50" s="3"/>
      <c r="AZY50" s="3"/>
      <c r="AZZ50" s="3"/>
      <c r="BAA50" s="3"/>
      <c r="BAB50" s="3"/>
      <c r="BAC50" s="3"/>
      <c r="BAD50" s="3"/>
      <c r="BAE50" s="3"/>
      <c r="BAF50" s="3"/>
      <c r="BAG50" s="3"/>
      <c r="BAH50" s="3"/>
      <c r="BAI50" s="3"/>
      <c r="BAJ50" s="3"/>
      <c r="BAK50" s="3"/>
      <c r="BAL50" s="3"/>
      <c r="BAM50" s="3"/>
      <c r="BAN50" s="3"/>
      <c r="BAO50" s="3"/>
      <c r="BAP50" s="3"/>
      <c r="BAQ50" s="3"/>
      <c r="BAR50" s="3"/>
      <c r="BAS50" s="3"/>
      <c r="BAT50" s="3"/>
      <c r="BAU50" s="3"/>
      <c r="BAV50" s="3"/>
      <c r="BAW50" s="3"/>
      <c r="BAX50" s="3"/>
      <c r="BAY50" s="3"/>
      <c r="BAZ50" s="3"/>
      <c r="BBA50" s="3"/>
      <c r="BBB50" s="3"/>
      <c r="BBC50" s="3"/>
      <c r="BBD50" s="3"/>
      <c r="BBE50" s="3"/>
      <c r="BBF50" s="3"/>
      <c r="BBG50" s="3"/>
      <c r="BBH50" s="3"/>
      <c r="BBI50" s="3"/>
      <c r="BBJ50" s="3"/>
      <c r="BBK50" s="3"/>
      <c r="BBL50" s="3"/>
      <c r="BBM50" s="3"/>
      <c r="BBN50" s="3"/>
      <c r="BBO50" s="3"/>
      <c r="BBP50" s="3"/>
      <c r="BBQ50" s="3"/>
      <c r="BBR50" s="3"/>
      <c r="BBS50" s="3"/>
      <c r="BBT50" s="3"/>
      <c r="BBU50" s="3"/>
      <c r="BBV50" s="3"/>
      <c r="BBW50" s="3"/>
      <c r="BBX50" s="3"/>
      <c r="BBY50" s="3"/>
      <c r="BBZ50" s="3"/>
      <c r="BCA50" s="3"/>
      <c r="BCB50" s="3"/>
      <c r="BCC50" s="3"/>
      <c r="BCD50" s="3"/>
      <c r="BCE50" s="3"/>
      <c r="BCF50" s="3"/>
      <c r="BCG50" s="3"/>
      <c r="BCH50" s="3"/>
      <c r="BCI50" s="3"/>
      <c r="BCJ50" s="3"/>
      <c r="BCK50" s="3"/>
      <c r="BCL50" s="3"/>
      <c r="BCM50" s="3"/>
      <c r="BCN50" s="3"/>
      <c r="BCO50" s="3"/>
      <c r="BCP50" s="3"/>
      <c r="BCQ50" s="3"/>
      <c r="BCR50" s="3"/>
      <c r="BCS50" s="3"/>
      <c r="BCT50" s="3"/>
      <c r="BCU50" s="3"/>
      <c r="BCV50" s="3"/>
      <c r="BCW50" s="3"/>
      <c r="BCX50" s="3"/>
      <c r="BCY50" s="3"/>
      <c r="BCZ50" s="3"/>
      <c r="BDA50" s="3"/>
      <c r="BDB50" s="3"/>
      <c r="BDC50" s="3"/>
      <c r="BDD50" s="3"/>
      <c r="BDE50" s="3"/>
      <c r="BDF50" s="3"/>
      <c r="BDG50" s="3"/>
      <c r="BDH50" s="3"/>
      <c r="BDI50" s="3"/>
      <c r="BDJ50" s="3"/>
      <c r="BDK50" s="3"/>
      <c r="BDL50" s="3"/>
      <c r="BDM50" s="3"/>
      <c r="BDN50" s="3"/>
      <c r="BDO50" s="3"/>
      <c r="BDP50" s="3"/>
      <c r="BDQ50" s="3"/>
      <c r="BDR50" s="3"/>
      <c r="BDS50" s="3"/>
      <c r="BDT50" s="3"/>
      <c r="BDU50" s="3"/>
      <c r="BDV50" s="3"/>
      <c r="BDW50" s="3"/>
      <c r="BDX50" s="3"/>
      <c r="BDY50" s="3"/>
      <c r="BDZ50" s="3"/>
      <c r="BEA50" s="3"/>
      <c r="BEB50" s="3"/>
      <c r="BEC50" s="3"/>
      <c r="BED50" s="3"/>
      <c r="BEE50" s="3"/>
      <c r="BEF50" s="3"/>
      <c r="BEG50" s="3"/>
      <c r="BEH50" s="3"/>
      <c r="BEI50" s="3"/>
      <c r="BEJ50" s="3"/>
      <c r="BEK50" s="3"/>
      <c r="BEL50" s="3"/>
      <c r="BEM50" s="3"/>
      <c r="BEN50" s="3"/>
      <c r="BEO50" s="3"/>
      <c r="BEP50" s="3"/>
      <c r="BEQ50" s="3"/>
      <c r="BER50" s="3"/>
      <c r="BES50" s="3"/>
      <c r="BET50" s="3"/>
      <c r="BEU50" s="3"/>
      <c r="BEV50" s="3"/>
      <c r="BEW50" s="3"/>
      <c r="BEX50" s="3"/>
      <c r="BEY50" s="3"/>
      <c r="BEZ50" s="3"/>
      <c r="BFA50" s="3"/>
      <c r="BFB50" s="3"/>
      <c r="BFC50" s="3"/>
      <c r="BFD50" s="3"/>
      <c r="BFE50" s="3"/>
      <c r="BFF50" s="3"/>
      <c r="BFG50" s="3"/>
      <c r="BFH50" s="3"/>
      <c r="BFI50" s="3"/>
      <c r="BFJ50" s="3"/>
      <c r="BFK50" s="3"/>
      <c r="BFL50" s="3"/>
      <c r="BFM50" s="3"/>
      <c r="BFN50" s="3"/>
      <c r="BFO50" s="3"/>
      <c r="BFP50" s="3"/>
      <c r="BFQ50" s="3"/>
      <c r="BFR50" s="3"/>
      <c r="BFS50" s="3"/>
      <c r="BFT50" s="3"/>
      <c r="BFU50" s="3"/>
      <c r="BFV50" s="3"/>
      <c r="BFW50" s="3"/>
      <c r="BFX50" s="3"/>
      <c r="BFY50" s="3"/>
      <c r="BFZ50" s="3"/>
      <c r="BGA50" s="3"/>
      <c r="BGB50" s="3"/>
      <c r="BGC50" s="3"/>
      <c r="BGD50" s="3"/>
      <c r="BGE50" s="3"/>
      <c r="BGF50" s="3"/>
      <c r="BGG50" s="3"/>
      <c r="BGH50" s="3"/>
      <c r="BGI50" s="3"/>
      <c r="BGJ50" s="3"/>
      <c r="BGK50" s="3"/>
      <c r="BGL50" s="3"/>
      <c r="BGM50" s="3"/>
      <c r="BGN50" s="3"/>
      <c r="BGO50" s="3"/>
      <c r="BGP50" s="3"/>
      <c r="BGQ50" s="3"/>
      <c r="BGR50" s="3"/>
      <c r="BGS50" s="3"/>
      <c r="BGT50" s="3"/>
      <c r="BGU50" s="3"/>
      <c r="BGV50" s="3"/>
      <c r="BGW50" s="3"/>
      <c r="BGX50" s="3"/>
      <c r="BGY50" s="3"/>
      <c r="BGZ50" s="3"/>
      <c r="BHA50" s="3"/>
      <c r="BHB50" s="3"/>
      <c r="BHC50" s="3"/>
      <c r="BHD50" s="3"/>
      <c r="BHE50" s="3"/>
      <c r="BHF50" s="3"/>
      <c r="BHG50" s="3"/>
      <c r="BHH50" s="3"/>
      <c r="BHI50" s="3"/>
      <c r="BHJ50" s="3"/>
      <c r="BHK50" s="3"/>
      <c r="BHL50" s="3"/>
      <c r="BHM50" s="3"/>
      <c r="BHN50" s="3"/>
      <c r="BHO50" s="3"/>
      <c r="BHP50" s="3"/>
      <c r="BHQ50" s="3"/>
      <c r="BHR50" s="3"/>
      <c r="BHS50" s="3"/>
      <c r="BHT50" s="3"/>
      <c r="BHU50" s="3"/>
      <c r="BHV50" s="3"/>
      <c r="BHW50" s="3"/>
      <c r="BHX50" s="3"/>
      <c r="BHY50" s="3"/>
      <c r="BHZ50" s="3"/>
      <c r="BIA50" s="3"/>
      <c r="BIB50" s="3"/>
      <c r="BIC50" s="3"/>
      <c r="BID50" s="3"/>
      <c r="BIE50" s="3"/>
      <c r="BIF50" s="3"/>
      <c r="BIG50" s="3"/>
      <c r="BIH50" s="3"/>
      <c r="BII50" s="3"/>
      <c r="BIJ50" s="3"/>
      <c r="BIK50" s="3"/>
      <c r="BIL50" s="3"/>
      <c r="BIM50" s="3"/>
      <c r="BIN50" s="3"/>
      <c r="BIO50" s="3"/>
      <c r="BIP50" s="3"/>
      <c r="BIQ50" s="3"/>
      <c r="BIR50" s="3"/>
      <c r="BIS50" s="3"/>
      <c r="BIT50" s="3"/>
      <c r="BIU50" s="3"/>
      <c r="BIV50" s="3"/>
      <c r="BIW50" s="3"/>
      <c r="BIX50" s="3"/>
      <c r="BIY50" s="3"/>
      <c r="BIZ50" s="3"/>
      <c r="BJA50" s="3"/>
      <c r="BJB50" s="3"/>
      <c r="BJC50" s="3"/>
      <c r="BJD50" s="3"/>
      <c r="BJE50" s="3"/>
      <c r="BJF50" s="3"/>
      <c r="BJG50" s="3"/>
      <c r="BJH50" s="3"/>
      <c r="BJI50" s="3"/>
      <c r="BJJ50" s="3"/>
      <c r="BJK50" s="3"/>
      <c r="BJL50" s="3"/>
      <c r="BJM50" s="3"/>
      <c r="BJN50" s="3"/>
      <c r="BJO50" s="3"/>
      <c r="BJP50" s="3"/>
      <c r="BJQ50" s="3"/>
      <c r="BJR50" s="3"/>
      <c r="BJS50" s="3"/>
      <c r="BJT50" s="3"/>
      <c r="BJU50" s="3"/>
      <c r="BJV50" s="3"/>
      <c r="BJW50" s="3"/>
      <c r="BJX50" s="3"/>
      <c r="BJY50" s="3"/>
      <c r="BJZ50" s="3"/>
      <c r="BKA50" s="3"/>
      <c r="BKB50" s="3"/>
      <c r="BKC50" s="3"/>
      <c r="BKD50" s="3"/>
      <c r="BKE50" s="3"/>
      <c r="BKF50" s="3"/>
      <c r="BKG50" s="3"/>
      <c r="BKH50" s="3"/>
      <c r="BKI50" s="3"/>
      <c r="BKJ50" s="3"/>
      <c r="BKK50" s="3"/>
      <c r="BKL50" s="3"/>
      <c r="BKM50" s="3"/>
      <c r="BKN50" s="3"/>
      <c r="BKO50" s="3"/>
      <c r="BKP50" s="3"/>
      <c r="BKQ50" s="3"/>
      <c r="BKR50" s="3"/>
      <c r="BKS50" s="3"/>
      <c r="BKT50" s="3"/>
      <c r="BKU50" s="3"/>
      <c r="BKV50" s="3"/>
      <c r="BKW50" s="3"/>
      <c r="BKX50" s="3"/>
      <c r="BKY50" s="3"/>
      <c r="BKZ50" s="3"/>
      <c r="BLA50" s="3"/>
      <c r="BLB50" s="3"/>
      <c r="BLC50" s="3"/>
      <c r="BLD50" s="3"/>
      <c r="BLE50" s="3"/>
      <c r="BLF50" s="3"/>
      <c r="BLG50" s="3"/>
      <c r="BLH50" s="3"/>
      <c r="BLI50" s="3"/>
      <c r="BLJ50" s="3"/>
      <c r="BLK50" s="3"/>
      <c r="BLL50" s="3"/>
      <c r="BLM50" s="3"/>
      <c r="BLN50" s="3"/>
      <c r="BLO50" s="3"/>
      <c r="BLP50" s="3"/>
      <c r="BLQ50" s="3"/>
      <c r="BLR50" s="3"/>
      <c r="BLS50" s="3"/>
      <c r="BLT50" s="3"/>
      <c r="BLU50" s="3"/>
      <c r="BLV50" s="3"/>
      <c r="BLW50" s="3"/>
      <c r="BLX50" s="3"/>
      <c r="BLY50" s="3"/>
      <c r="BLZ50" s="3"/>
      <c r="BMA50" s="3"/>
      <c r="BMB50" s="3"/>
      <c r="BMC50" s="3"/>
      <c r="BMD50" s="3"/>
      <c r="BME50" s="3"/>
      <c r="BMF50" s="3"/>
      <c r="BMG50" s="3"/>
      <c r="BMH50" s="3"/>
      <c r="BMI50" s="3"/>
      <c r="BMJ50" s="3"/>
      <c r="BMK50" s="3"/>
      <c r="BML50" s="3"/>
      <c r="BMM50" s="3"/>
      <c r="BMN50" s="3"/>
      <c r="BMO50" s="3"/>
      <c r="BMP50" s="3"/>
      <c r="BMQ50" s="3"/>
      <c r="BMR50" s="3"/>
      <c r="BMS50" s="3"/>
      <c r="BMT50" s="3"/>
      <c r="BMU50" s="3"/>
      <c r="BMV50" s="3"/>
      <c r="BMW50" s="3"/>
      <c r="BMX50" s="3"/>
      <c r="BMY50" s="3"/>
      <c r="BMZ50" s="3"/>
      <c r="BNA50" s="3"/>
      <c r="BNB50" s="3"/>
      <c r="BNC50" s="3"/>
      <c r="BND50" s="3"/>
      <c r="BNE50" s="3"/>
      <c r="BNF50" s="3"/>
      <c r="BNG50" s="3"/>
      <c r="BNH50" s="3"/>
      <c r="BNI50" s="3"/>
      <c r="BNJ50" s="3"/>
      <c r="BNK50" s="3"/>
      <c r="BNL50" s="3"/>
      <c r="BNM50" s="3"/>
      <c r="BNN50" s="3"/>
      <c r="BNO50" s="3"/>
      <c r="BNP50" s="3"/>
      <c r="BNQ50" s="3"/>
      <c r="BNR50" s="3"/>
      <c r="BNS50" s="3"/>
      <c r="BNT50" s="3"/>
      <c r="BNU50" s="3"/>
      <c r="BNV50" s="3"/>
      <c r="BNW50" s="3"/>
      <c r="BNX50" s="3"/>
      <c r="BNY50" s="3"/>
      <c r="BNZ50" s="3"/>
      <c r="BOA50" s="3"/>
      <c r="BOB50" s="3"/>
      <c r="BOC50" s="3"/>
      <c r="BOD50" s="3"/>
      <c r="BOE50" s="3"/>
      <c r="BOF50" s="3"/>
      <c r="BOG50" s="3"/>
      <c r="BOH50" s="3"/>
      <c r="BOI50" s="3"/>
      <c r="BOJ50" s="3"/>
      <c r="BOK50" s="3"/>
      <c r="BOL50" s="3"/>
      <c r="BOM50" s="3"/>
      <c r="BON50" s="3"/>
      <c r="BOO50" s="3"/>
      <c r="BOP50" s="3"/>
      <c r="BOQ50" s="3"/>
      <c r="BOR50" s="3"/>
      <c r="BOS50" s="3"/>
      <c r="BOT50" s="3"/>
      <c r="BOU50" s="3"/>
      <c r="BOV50" s="3"/>
      <c r="BOW50" s="3"/>
      <c r="BOX50" s="3"/>
      <c r="BOY50" s="3"/>
      <c r="BOZ50" s="3"/>
      <c r="BPA50" s="3"/>
      <c r="BPB50" s="3"/>
      <c r="BPC50" s="3"/>
      <c r="BPD50" s="3"/>
      <c r="BPE50" s="3"/>
      <c r="BPF50" s="3"/>
      <c r="BPG50" s="3"/>
      <c r="BPH50" s="3"/>
      <c r="BPI50" s="3"/>
      <c r="BPJ50" s="3"/>
      <c r="BPK50" s="3"/>
      <c r="BPL50" s="3"/>
      <c r="BPM50" s="3"/>
      <c r="BPN50" s="3"/>
      <c r="BPO50" s="3"/>
      <c r="BPP50" s="3"/>
      <c r="BPQ50" s="3"/>
      <c r="BPR50" s="3"/>
      <c r="BPS50" s="3"/>
      <c r="BPT50" s="3"/>
      <c r="BPU50" s="3"/>
      <c r="BPV50" s="3"/>
      <c r="BPW50" s="3"/>
      <c r="BPX50" s="3"/>
      <c r="BPY50" s="3"/>
      <c r="BPZ50" s="3"/>
      <c r="BQA50" s="3"/>
      <c r="BQB50" s="3"/>
      <c r="BQC50" s="3"/>
      <c r="BQD50" s="3"/>
      <c r="BQE50" s="3"/>
      <c r="BQF50" s="3"/>
      <c r="BQG50" s="3"/>
      <c r="BQH50" s="3"/>
      <c r="BQI50" s="3"/>
      <c r="BQJ50" s="3"/>
      <c r="BQK50" s="3"/>
      <c r="BQL50" s="3"/>
      <c r="BQM50" s="3"/>
      <c r="BQN50" s="3"/>
      <c r="BQO50" s="3"/>
      <c r="BQP50" s="3"/>
      <c r="BQQ50" s="3"/>
      <c r="BQR50" s="3"/>
      <c r="BQS50" s="3"/>
      <c r="BQT50" s="3"/>
      <c r="BQU50" s="3"/>
      <c r="BQV50" s="3"/>
      <c r="BQW50" s="3"/>
      <c r="BQX50" s="3"/>
      <c r="BQY50" s="3"/>
      <c r="BQZ50" s="3"/>
      <c r="BRA50" s="3"/>
      <c r="BRB50" s="3"/>
      <c r="BRC50" s="3"/>
      <c r="BRD50" s="3"/>
      <c r="BRE50" s="3"/>
      <c r="BRF50" s="3"/>
      <c r="BRG50" s="3"/>
      <c r="BRH50" s="3"/>
      <c r="BRI50" s="3"/>
      <c r="BRJ50" s="3"/>
      <c r="BRK50" s="3"/>
      <c r="BRL50" s="3"/>
      <c r="BRM50" s="3"/>
      <c r="BRN50" s="3"/>
      <c r="BRO50" s="3"/>
      <c r="BRP50" s="3"/>
      <c r="BRQ50" s="3"/>
      <c r="BRR50" s="3"/>
      <c r="BRS50" s="3"/>
      <c r="BRT50" s="3"/>
      <c r="BRU50" s="3"/>
      <c r="BRV50" s="3"/>
      <c r="BRW50" s="3"/>
      <c r="BRX50" s="3"/>
      <c r="BRY50" s="3"/>
      <c r="BRZ50" s="3"/>
      <c r="BSA50" s="3"/>
      <c r="BSB50" s="3"/>
      <c r="BSC50" s="3"/>
      <c r="BSD50" s="3"/>
      <c r="BSE50" s="3"/>
      <c r="BSF50" s="3"/>
      <c r="BSG50" s="3"/>
      <c r="BSH50" s="3"/>
      <c r="BSI50" s="3"/>
      <c r="BSJ50" s="3"/>
      <c r="BSK50" s="3"/>
      <c r="BSL50" s="3"/>
      <c r="BSM50" s="3"/>
      <c r="BSN50" s="3"/>
      <c r="BSO50" s="3"/>
      <c r="BSP50" s="3"/>
      <c r="BSQ50" s="3"/>
      <c r="BSR50" s="3"/>
      <c r="BSS50" s="3"/>
      <c r="BST50" s="3"/>
      <c r="BSU50" s="3"/>
      <c r="BSV50" s="3"/>
      <c r="BSW50" s="3"/>
      <c r="BSX50" s="3"/>
      <c r="BSY50" s="3"/>
      <c r="BSZ50" s="3"/>
      <c r="BTA50" s="3"/>
      <c r="BTB50" s="3"/>
      <c r="BTC50" s="3"/>
      <c r="BTD50" s="3"/>
      <c r="BTE50" s="3"/>
      <c r="BTF50" s="3"/>
      <c r="BTG50" s="3"/>
      <c r="BTH50" s="3"/>
      <c r="BTI50" s="3"/>
      <c r="BTJ50" s="3"/>
      <c r="BTK50" s="3"/>
      <c r="BTL50" s="3"/>
      <c r="BTM50" s="3"/>
      <c r="BTN50" s="3"/>
      <c r="BTO50" s="3"/>
      <c r="BTP50" s="3"/>
      <c r="BTQ50" s="3"/>
      <c r="BTR50" s="3"/>
      <c r="BTS50" s="3"/>
      <c r="BTT50" s="3"/>
      <c r="BTU50" s="3"/>
      <c r="BTV50" s="3"/>
      <c r="BTW50" s="3"/>
      <c r="BTX50" s="3"/>
      <c r="BTY50" s="3"/>
      <c r="BTZ50" s="3"/>
      <c r="BUA50" s="3"/>
      <c r="BUB50" s="3"/>
      <c r="BUC50" s="3"/>
      <c r="BUD50" s="3"/>
      <c r="BUE50" s="3"/>
      <c r="BUF50" s="3"/>
      <c r="BUG50" s="3"/>
      <c r="BUH50" s="3"/>
      <c r="BUI50" s="3"/>
      <c r="BUJ50" s="3"/>
      <c r="BUK50" s="3"/>
      <c r="BUL50" s="3"/>
      <c r="BUM50" s="3"/>
      <c r="BUN50" s="3"/>
      <c r="BUO50" s="3"/>
      <c r="BUP50" s="3"/>
      <c r="BUQ50" s="3"/>
      <c r="BUR50" s="3"/>
      <c r="BUS50" s="3"/>
      <c r="BUT50" s="3"/>
      <c r="BUU50" s="3"/>
      <c r="BUV50" s="3"/>
      <c r="BUW50" s="3"/>
      <c r="BUX50" s="3"/>
      <c r="BUY50" s="3"/>
      <c r="BUZ50" s="3"/>
      <c r="BVA50" s="3"/>
      <c r="BVB50" s="3"/>
      <c r="BVC50" s="3"/>
      <c r="BVD50" s="3"/>
      <c r="BVE50" s="3"/>
      <c r="BVF50" s="3"/>
      <c r="BVG50" s="3"/>
      <c r="BVH50" s="3"/>
      <c r="BVI50" s="3"/>
      <c r="BVJ50" s="3"/>
      <c r="BVK50" s="3"/>
      <c r="BVL50" s="3"/>
      <c r="BVM50" s="3"/>
      <c r="BVN50" s="3"/>
      <c r="BVO50" s="3"/>
      <c r="BVP50" s="3"/>
      <c r="BVQ50" s="3"/>
      <c r="BVR50" s="3"/>
      <c r="BVS50" s="3"/>
      <c r="BVT50" s="3"/>
      <c r="BVU50" s="3"/>
      <c r="BVV50" s="3"/>
      <c r="BVW50" s="3"/>
      <c r="BVX50" s="3"/>
      <c r="BVY50" s="3"/>
      <c r="BVZ50" s="3"/>
      <c r="BWA50" s="3"/>
      <c r="BWB50" s="3"/>
      <c r="BWC50" s="3"/>
      <c r="BWD50" s="3"/>
      <c r="BWE50" s="3"/>
      <c r="BWF50" s="3"/>
      <c r="BWG50" s="3"/>
      <c r="BWH50" s="3"/>
      <c r="BWI50" s="3"/>
      <c r="BWJ50" s="3"/>
      <c r="BWK50" s="3"/>
      <c r="BWL50" s="3"/>
      <c r="BWM50" s="3"/>
      <c r="BWN50" s="3"/>
      <c r="BWO50" s="3"/>
      <c r="BWP50" s="3"/>
      <c r="BWQ50" s="3"/>
      <c r="BWR50" s="3"/>
      <c r="BWS50" s="3"/>
      <c r="BWT50" s="3"/>
      <c r="BWU50" s="3"/>
      <c r="BWV50" s="3"/>
      <c r="BWW50" s="3"/>
      <c r="BWX50" s="3"/>
      <c r="BWY50" s="3"/>
      <c r="BWZ50" s="3"/>
      <c r="BXA50" s="3"/>
      <c r="BXB50" s="3"/>
      <c r="BXC50" s="3"/>
      <c r="BXD50" s="3"/>
      <c r="BXE50" s="3"/>
      <c r="BXF50" s="3"/>
      <c r="BXG50" s="3"/>
      <c r="BXH50" s="3"/>
      <c r="BXI50" s="3"/>
      <c r="BXJ50" s="3"/>
      <c r="BXK50" s="3"/>
      <c r="BXL50" s="3"/>
      <c r="BXM50" s="3"/>
      <c r="BXN50" s="3"/>
      <c r="BXO50" s="3"/>
      <c r="BXP50" s="3"/>
      <c r="BXQ50" s="3"/>
      <c r="BXR50" s="3"/>
      <c r="BXS50" s="3"/>
      <c r="BXT50" s="3"/>
      <c r="BXU50" s="3"/>
      <c r="BXV50" s="3"/>
      <c r="BXW50" s="3"/>
      <c r="BXX50" s="3"/>
      <c r="BXY50" s="3"/>
      <c r="BXZ50" s="3"/>
      <c r="BYA50" s="3"/>
      <c r="BYB50" s="3"/>
      <c r="BYC50" s="3"/>
      <c r="BYD50" s="3"/>
      <c r="BYE50" s="3"/>
      <c r="BYF50" s="3"/>
      <c r="BYG50" s="3"/>
    </row>
    <row r="51" spans="1:2009" s="187" customFormat="1" ht="24.95" customHeight="1" thickBot="1" x14ac:dyDescent="0.3">
      <c r="A51" s="186"/>
      <c r="B51" s="346" t="s">
        <v>441</v>
      </c>
      <c r="C51" s="633">
        <f>SUM(C46:C50)</f>
        <v>12594.27</v>
      </c>
      <c r="D51" s="633">
        <f t="shared" ref="D51" si="1">SUM(D46:D50)</f>
        <v>19613.849999999999</v>
      </c>
      <c r="E51" s="633"/>
      <c r="F51" s="633"/>
      <c r="G51" s="645">
        <f>ROUND(SUM(C51:F51),5)</f>
        <v>32208.12</v>
      </c>
      <c r="H51" s="160"/>
      <c r="I51" s="21"/>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c r="CG51" s="160"/>
      <c r="CH51" s="160"/>
      <c r="CI51" s="160"/>
      <c r="CJ51" s="160"/>
      <c r="CK51" s="160"/>
      <c r="CL51" s="160"/>
      <c r="CM51" s="160"/>
      <c r="CN51" s="160"/>
      <c r="CO51" s="160"/>
      <c r="CP51" s="160"/>
      <c r="CQ51" s="160"/>
      <c r="CR51" s="160"/>
      <c r="CS51" s="160"/>
      <c r="CT51" s="160"/>
      <c r="CU51" s="160"/>
      <c r="CV51" s="160"/>
      <c r="CW51" s="160"/>
      <c r="CX51" s="160"/>
      <c r="CY51" s="160"/>
      <c r="CZ51" s="160"/>
      <c r="DA51" s="160"/>
      <c r="DB51" s="160"/>
      <c r="DC51" s="160"/>
      <c r="DD51" s="160"/>
      <c r="DE51" s="160"/>
      <c r="DF51" s="160"/>
      <c r="DG51" s="160"/>
      <c r="DH51" s="160"/>
      <c r="DI51" s="160"/>
      <c r="DJ51" s="160"/>
      <c r="DK51" s="160"/>
      <c r="DL51" s="160"/>
      <c r="DM51" s="160"/>
      <c r="DN51" s="160"/>
      <c r="DO51" s="160"/>
      <c r="DP51" s="160"/>
      <c r="DQ51" s="160"/>
      <c r="DR51" s="160"/>
      <c r="DS51" s="160"/>
      <c r="DT51" s="160"/>
      <c r="DU51" s="160"/>
      <c r="DV51" s="160"/>
      <c r="DW51" s="160"/>
      <c r="DX51" s="160"/>
      <c r="DY51" s="160"/>
      <c r="DZ51" s="160"/>
      <c r="EA51" s="160"/>
      <c r="EB51" s="160"/>
      <c r="EC51" s="160"/>
      <c r="ED51" s="160"/>
      <c r="EE51" s="160"/>
      <c r="EF51" s="160"/>
      <c r="EG51" s="160"/>
      <c r="EH51" s="160"/>
      <c r="EI51" s="160"/>
      <c r="EJ51" s="160"/>
      <c r="EK51" s="160"/>
      <c r="EL51" s="160"/>
      <c r="EM51" s="160"/>
      <c r="EN51" s="160"/>
      <c r="EO51" s="160"/>
      <c r="EP51" s="160"/>
      <c r="EQ51" s="160"/>
      <c r="ER51" s="160"/>
      <c r="ES51" s="160"/>
      <c r="ET51" s="160"/>
      <c r="EU51" s="160"/>
      <c r="EV51" s="160"/>
      <c r="EW51" s="160"/>
      <c r="EX51" s="160"/>
      <c r="EY51" s="160"/>
      <c r="EZ51" s="160"/>
      <c r="FA51" s="160"/>
      <c r="FB51" s="160"/>
      <c r="FC51" s="160"/>
      <c r="FD51" s="160"/>
      <c r="FE51" s="160"/>
      <c r="FF51" s="160"/>
      <c r="FG51" s="160"/>
      <c r="FH51" s="160"/>
      <c r="FI51" s="160"/>
      <c r="FJ51" s="160"/>
      <c r="FK51" s="160"/>
      <c r="FL51" s="160"/>
      <c r="FM51" s="160"/>
      <c r="FN51" s="160"/>
      <c r="FO51" s="160"/>
      <c r="FP51" s="160"/>
      <c r="FQ51" s="160"/>
      <c r="FR51" s="160"/>
      <c r="FS51" s="160"/>
      <c r="FT51" s="160"/>
      <c r="FU51" s="160"/>
      <c r="FV51" s="160"/>
      <c r="FW51" s="160"/>
      <c r="FX51" s="160"/>
      <c r="FY51" s="160"/>
      <c r="FZ51" s="160"/>
      <c r="GA51" s="160"/>
      <c r="GB51" s="160"/>
      <c r="GC51" s="160"/>
      <c r="GD51" s="160"/>
      <c r="GE51" s="160"/>
      <c r="GF51" s="160"/>
      <c r="GG51" s="160"/>
      <c r="GH51" s="160"/>
      <c r="GI51" s="160"/>
      <c r="GJ51" s="160"/>
      <c r="GK51" s="160"/>
      <c r="GL51" s="160"/>
      <c r="GM51" s="160"/>
      <c r="GN51" s="160"/>
      <c r="GO51" s="160"/>
      <c r="GP51" s="160"/>
      <c r="GQ51" s="160"/>
      <c r="GR51" s="160"/>
      <c r="GS51" s="160"/>
      <c r="GT51" s="160"/>
      <c r="GU51" s="160"/>
      <c r="GV51" s="160"/>
      <c r="GW51" s="160"/>
      <c r="GX51" s="160"/>
      <c r="GY51" s="160"/>
      <c r="GZ51" s="160"/>
      <c r="HA51" s="160"/>
      <c r="HB51" s="160"/>
      <c r="HC51" s="160"/>
      <c r="HD51" s="160"/>
      <c r="HE51" s="160"/>
      <c r="HF51" s="160"/>
      <c r="HG51" s="160"/>
      <c r="HH51" s="160"/>
      <c r="HI51" s="160"/>
      <c r="HJ51" s="160"/>
      <c r="HK51" s="160"/>
      <c r="HL51" s="160"/>
      <c r="HM51" s="160"/>
      <c r="HN51" s="160"/>
      <c r="HO51" s="160"/>
      <c r="HP51" s="160"/>
      <c r="HQ51" s="160"/>
      <c r="HR51" s="160"/>
      <c r="HS51" s="160"/>
      <c r="HT51" s="160"/>
      <c r="HU51" s="160"/>
      <c r="HV51" s="160"/>
      <c r="HW51" s="160"/>
      <c r="HX51" s="160"/>
      <c r="HY51" s="160"/>
      <c r="HZ51" s="160"/>
      <c r="IA51" s="160"/>
      <c r="IB51" s="160"/>
      <c r="IC51" s="160"/>
      <c r="ID51" s="160"/>
      <c r="IE51" s="160"/>
      <c r="IF51" s="160"/>
      <c r="IG51" s="160"/>
      <c r="IH51" s="160"/>
      <c r="II51" s="160"/>
      <c r="IJ51" s="160"/>
      <c r="IK51" s="160"/>
      <c r="IL51" s="160"/>
      <c r="IM51" s="160"/>
      <c r="IN51" s="160"/>
      <c r="IO51" s="160"/>
      <c r="IP51" s="160"/>
      <c r="IQ51" s="160"/>
      <c r="IR51" s="160"/>
      <c r="IS51" s="160"/>
      <c r="IT51" s="160"/>
      <c r="IU51" s="160"/>
      <c r="IV51" s="160"/>
      <c r="IW51" s="160"/>
      <c r="IX51" s="160"/>
      <c r="IY51" s="160"/>
      <c r="IZ51" s="160"/>
      <c r="JA51" s="160"/>
      <c r="JB51" s="160"/>
      <c r="JC51" s="160"/>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c r="KJ51" s="160"/>
      <c r="KK51" s="160"/>
      <c r="KL51" s="160"/>
      <c r="KM51" s="160"/>
      <c r="KN51" s="160"/>
      <c r="KO51" s="160"/>
      <c r="KP51" s="160"/>
      <c r="KQ51" s="160"/>
      <c r="KR51" s="160"/>
      <c r="KS51" s="160"/>
      <c r="KT51" s="160"/>
      <c r="KU51" s="160"/>
      <c r="KV51" s="160"/>
      <c r="KW51" s="160"/>
      <c r="KX51" s="160"/>
      <c r="KY51" s="160"/>
      <c r="KZ51" s="160"/>
      <c r="LA51" s="160"/>
      <c r="LB51" s="160"/>
      <c r="LC51" s="160"/>
      <c r="LD51" s="160"/>
      <c r="LE51" s="160"/>
      <c r="LF51" s="160"/>
      <c r="LG51" s="160"/>
      <c r="LH51" s="160"/>
      <c r="LI51" s="160"/>
      <c r="LJ51" s="160"/>
      <c r="LK51" s="160"/>
      <c r="LL51" s="160"/>
      <c r="LM51" s="160"/>
      <c r="LN51" s="160"/>
      <c r="LO51" s="160"/>
      <c r="LP51" s="160"/>
      <c r="LQ51" s="160"/>
      <c r="LR51" s="160"/>
      <c r="LS51" s="160"/>
      <c r="LT51" s="160"/>
      <c r="LU51" s="160"/>
      <c r="LV51" s="160"/>
      <c r="LW51" s="160"/>
      <c r="LX51" s="160"/>
      <c r="LY51" s="160"/>
      <c r="LZ51" s="160"/>
      <c r="MA51" s="160"/>
      <c r="MB51" s="160"/>
      <c r="MC51" s="160"/>
      <c r="MD51" s="160"/>
      <c r="ME51" s="160"/>
      <c r="MF51" s="160"/>
      <c r="MG51" s="160"/>
      <c r="MH51" s="160"/>
      <c r="MI51" s="160"/>
      <c r="MJ51" s="160"/>
      <c r="MK51" s="160"/>
      <c r="ML51" s="160"/>
      <c r="MM51" s="160"/>
      <c r="MN51" s="160"/>
      <c r="MO51" s="160"/>
      <c r="MP51" s="160"/>
      <c r="MQ51" s="160"/>
      <c r="MR51" s="160"/>
      <c r="MS51" s="160"/>
      <c r="MT51" s="160"/>
      <c r="MU51" s="160"/>
      <c r="MV51" s="160"/>
      <c r="MW51" s="160"/>
      <c r="MX51" s="160"/>
      <c r="MY51" s="160"/>
      <c r="MZ51" s="160"/>
      <c r="NA51" s="160"/>
      <c r="NB51" s="160"/>
      <c r="NC51" s="160"/>
      <c r="ND51" s="160"/>
      <c r="NE51" s="160"/>
      <c r="NF51" s="160"/>
      <c r="NG51" s="160"/>
      <c r="NH51" s="160"/>
      <c r="NI51" s="160"/>
      <c r="NJ51" s="160"/>
      <c r="NK51" s="160"/>
      <c r="NL51" s="160"/>
      <c r="NM51" s="160"/>
      <c r="NN51" s="160"/>
      <c r="NO51" s="160"/>
      <c r="NP51" s="160"/>
      <c r="NQ51" s="160"/>
      <c r="NR51" s="160"/>
      <c r="NS51" s="160"/>
      <c r="NT51" s="160"/>
      <c r="NU51" s="160"/>
      <c r="NV51" s="160"/>
      <c r="NW51" s="160"/>
      <c r="NX51" s="160"/>
      <c r="NY51" s="160"/>
      <c r="NZ51" s="160"/>
      <c r="OA51" s="160"/>
      <c r="OB51" s="160"/>
      <c r="OC51" s="160"/>
      <c r="OD51" s="160"/>
      <c r="OE51" s="160"/>
      <c r="OF51" s="160"/>
      <c r="OG51" s="160"/>
      <c r="OH51" s="160"/>
      <c r="OI51" s="160"/>
      <c r="OJ51" s="160"/>
      <c r="OK51" s="160"/>
      <c r="OL51" s="160"/>
      <c r="OM51" s="160"/>
      <c r="ON51" s="160"/>
      <c r="OO51" s="160"/>
      <c r="OP51" s="160"/>
      <c r="OQ51" s="160"/>
      <c r="OR51" s="160"/>
      <c r="OS51" s="160"/>
      <c r="OT51" s="160"/>
      <c r="OU51" s="160"/>
      <c r="OV51" s="160"/>
      <c r="OW51" s="160"/>
      <c r="OX51" s="160"/>
      <c r="OY51" s="160"/>
      <c r="OZ51" s="160"/>
      <c r="PA51" s="160"/>
      <c r="PB51" s="160"/>
      <c r="PC51" s="160"/>
      <c r="PD51" s="160"/>
      <c r="PE51" s="160"/>
      <c r="PF51" s="160"/>
      <c r="PG51" s="160"/>
      <c r="PH51" s="160"/>
      <c r="PI51" s="160"/>
      <c r="PJ51" s="160"/>
      <c r="PK51" s="160"/>
      <c r="PL51" s="160"/>
      <c r="PM51" s="160"/>
      <c r="PN51" s="160"/>
      <c r="PO51" s="160"/>
      <c r="PP51" s="160"/>
      <c r="PQ51" s="160"/>
      <c r="PR51" s="160"/>
      <c r="PS51" s="160"/>
      <c r="PT51" s="160"/>
      <c r="PU51" s="160"/>
      <c r="PV51" s="160"/>
      <c r="PW51" s="160"/>
      <c r="PX51" s="160"/>
      <c r="PY51" s="160"/>
      <c r="PZ51" s="160"/>
      <c r="QA51" s="160"/>
      <c r="QB51" s="160"/>
      <c r="QC51" s="160"/>
      <c r="QD51" s="160"/>
      <c r="QE51" s="160"/>
      <c r="QF51" s="160"/>
      <c r="QG51" s="160"/>
      <c r="QH51" s="160"/>
      <c r="QI51" s="160"/>
      <c r="QJ51" s="160"/>
      <c r="QK51" s="160"/>
      <c r="QL51" s="160"/>
      <c r="QM51" s="160"/>
      <c r="QN51" s="160"/>
      <c r="QO51" s="160"/>
      <c r="QP51" s="160"/>
      <c r="QQ51" s="160"/>
      <c r="QR51" s="160"/>
      <c r="QS51" s="160"/>
      <c r="QT51" s="160"/>
      <c r="QU51" s="160"/>
      <c r="QV51" s="160"/>
      <c r="QW51" s="160"/>
      <c r="QX51" s="160"/>
      <c r="QY51" s="160"/>
      <c r="QZ51" s="160"/>
      <c r="RA51" s="160"/>
      <c r="RB51" s="160"/>
      <c r="RC51" s="160"/>
      <c r="RD51" s="160"/>
      <c r="RE51" s="160"/>
      <c r="RF51" s="160"/>
      <c r="RG51" s="160"/>
      <c r="RH51" s="160"/>
      <c r="RI51" s="160"/>
      <c r="RJ51" s="160"/>
      <c r="RK51" s="160"/>
      <c r="RL51" s="160"/>
      <c r="RM51" s="160"/>
      <c r="RN51" s="160"/>
      <c r="RO51" s="160"/>
      <c r="RP51" s="160"/>
      <c r="RQ51" s="160"/>
      <c r="RR51" s="160"/>
      <c r="RS51" s="160"/>
      <c r="RT51" s="160"/>
      <c r="RU51" s="160"/>
      <c r="RV51" s="160"/>
      <c r="RW51" s="160"/>
      <c r="RX51" s="160"/>
      <c r="RY51" s="160"/>
      <c r="RZ51" s="160"/>
      <c r="SA51" s="160"/>
      <c r="SB51" s="160"/>
      <c r="SC51" s="160"/>
      <c r="SD51" s="160"/>
      <c r="SE51" s="160"/>
      <c r="SF51" s="160"/>
      <c r="SG51" s="160"/>
      <c r="SH51" s="160"/>
      <c r="SI51" s="160"/>
      <c r="SJ51" s="160"/>
      <c r="SK51" s="160"/>
      <c r="SL51" s="160"/>
      <c r="SM51" s="160"/>
      <c r="SN51" s="160"/>
      <c r="SO51" s="160"/>
      <c r="SP51" s="160"/>
      <c r="SQ51" s="160"/>
      <c r="SR51" s="160"/>
      <c r="SS51" s="160"/>
      <c r="ST51" s="160"/>
      <c r="SU51" s="160"/>
      <c r="SV51" s="160"/>
      <c r="SW51" s="160"/>
      <c r="SX51" s="160"/>
      <c r="SY51" s="160"/>
      <c r="SZ51" s="160"/>
      <c r="TA51" s="160"/>
      <c r="TB51" s="160"/>
      <c r="TC51" s="160"/>
      <c r="TD51" s="160"/>
      <c r="TE51" s="160"/>
      <c r="TF51" s="160"/>
      <c r="TG51" s="160"/>
      <c r="TH51" s="160"/>
      <c r="TI51" s="160"/>
      <c r="TJ51" s="160"/>
      <c r="TK51" s="160"/>
      <c r="TL51" s="160"/>
      <c r="TM51" s="160"/>
      <c r="TN51" s="160"/>
      <c r="TO51" s="160"/>
      <c r="TP51" s="160"/>
      <c r="TQ51" s="160"/>
      <c r="TR51" s="160"/>
      <c r="TS51" s="160"/>
      <c r="TT51" s="160"/>
      <c r="TU51" s="160"/>
      <c r="TV51" s="160"/>
      <c r="TW51" s="160"/>
      <c r="TX51" s="160"/>
      <c r="TY51" s="160"/>
      <c r="TZ51" s="160"/>
      <c r="UA51" s="160"/>
      <c r="UB51" s="160"/>
      <c r="UC51" s="160"/>
      <c r="UD51" s="160"/>
      <c r="UE51" s="160"/>
      <c r="UF51" s="160"/>
      <c r="UG51" s="160"/>
      <c r="UH51" s="160"/>
      <c r="UI51" s="160"/>
      <c r="UJ51" s="160"/>
      <c r="UK51" s="160"/>
      <c r="UL51" s="160"/>
      <c r="UM51" s="160"/>
      <c r="UN51" s="160"/>
      <c r="UO51" s="160"/>
      <c r="UP51" s="160"/>
      <c r="UQ51" s="160"/>
      <c r="UR51" s="160"/>
      <c r="US51" s="160"/>
      <c r="UT51" s="160"/>
      <c r="UU51" s="160"/>
      <c r="UV51" s="160"/>
      <c r="UW51" s="160"/>
      <c r="UX51" s="160"/>
      <c r="UY51" s="160"/>
      <c r="UZ51" s="160"/>
      <c r="VA51" s="160"/>
      <c r="VB51" s="160"/>
      <c r="VC51" s="160"/>
      <c r="VD51" s="160"/>
      <c r="VE51" s="160"/>
      <c r="VF51" s="160"/>
      <c r="VG51" s="160"/>
      <c r="VH51" s="160"/>
      <c r="VI51" s="160"/>
      <c r="VJ51" s="160"/>
      <c r="VK51" s="160"/>
      <c r="VL51" s="160"/>
      <c r="VM51" s="160"/>
      <c r="VN51" s="160"/>
      <c r="VO51" s="160"/>
      <c r="VP51" s="160"/>
      <c r="VQ51" s="160"/>
      <c r="VR51" s="160"/>
      <c r="VS51" s="160"/>
      <c r="VT51" s="160"/>
      <c r="VU51" s="160"/>
      <c r="VV51" s="160"/>
      <c r="VW51" s="160"/>
      <c r="VX51" s="160"/>
      <c r="VY51" s="160"/>
      <c r="VZ51" s="160"/>
      <c r="WA51" s="160"/>
      <c r="WB51" s="160"/>
      <c r="WC51" s="160"/>
      <c r="WD51" s="160"/>
      <c r="WE51" s="160"/>
      <c r="WF51" s="160"/>
      <c r="WG51" s="160"/>
      <c r="WH51" s="160"/>
      <c r="WI51" s="160"/>
      <c r="WJ51" s="160"/>
      <c r="WK51" s="160"/>
      <c r="WL51" s="160"/>
      <c r="WM51" s="160"/>
      <c r="WN51" s="160"/>
      <c r="WO51" s="160"/>
      <c r="WP51" s="160"/>
      <c r="WQ51" s="160"/>
      <c r="WR51" s="160"/>
      <c r="WS51" s="160"/>
      <c r="WT51" s="160"/>
      <c r="WU51" s="160"/>
      <c r="WV51" s="160"/>
      <c r="WW51" s="160"/>
      <c r="WX51" s="160"/>
      <c r="WY51" s="160"/>
      <c r="WZ51" s="160"/>
      <c r="XA51" s="160"/>
      <c r="XB51" s="160"/>
      <c r="XC51" s="160"/>
      <c r="XD51" s="160"/>
      <c r="XE51" s="160"/>
      <c r="XF51" s="160"/>
      <c r="XG51" s="160"/>
      <c r="XH51" s="160"/>
      <c r="XI51" s="160"/>
      <c r="XJ51" s="160"/>
      <c r="XK51" s="160"/>
      <c r="XL51" s="160"/>
      <c r="XM51" s="160"/>
      <c r="XN51" s="160"/>
      <c r="XO51" s="160"/>
      <c r="XP51" s="160"/>
      <c r="XQ51" s="160"/>
      <c r="XR51" s="160"/>
      <c r="XS51" s="160"/>
      <c r="XT51" s="160"/>
      <c r="XU51" s="160"/>
      <c r="XV51" s="160"/>
      <c r="XW51" s="160"/>
      <c r="XX51" s="160"/>
      <c r="XY51" s="160"/>
      <c r="XZ51" s="160"/>
      <c r="YA51" s="160"/>
      <c r="YB51" s="160"/>
      <c r="YC51" s="160"/>
      <c r="YD51" s="160"/>
      <c r="YE51" s="160"/>
      <c r="YF51" s="160"/>
      <c r="YG51" s="160"/>
      <c r="YH51" s="160"/>
      <c r="YI51" s="160"/>
      <c r="YJ51" s="160"/>
      <c r="YK51" s="160"/>
      <c r="YL51" s="160"/>
      <c r="YM51" s="160"/>
      <c r="YN51" s="160"/>
      <c r="YO51" s="160"/>
      <c r="YP51" s="160"/>
      <c r="YQ51" s="160"/>
      <c r="YR51" s="160"/>
      <c r="YS51" s="160"/>
      <c r="YT51" s="160"/>
      <c r="YU51" s="160"/>
      <c r="YV51" s="160"/>
      <c r="YW51" s="160"/>
      <c r="YX51" s="160"/>
      <c r="YY51" s="160"/>
      <c r="YZ51" s="160"/>
      <c r="ZA51" s="160"/>
      <c r="ZB51" s="160"/>
      <c r="ZC51" s="160"/>
      <c r="ZD51" s="160"/>
      <c r="ZE51" s="160"/>
      <c r="ZF51" s="160"/>
      <c r="ZG51" s="160"/>
      <c r="ZH51" s="160"/>
      <c r="ZI51" s="160"/>
      <c r="ZJ51" s="160"/>
      <c r="ZK51" s="160"/>
      <c r="ZL51" s="160"/>
      <c r="ZM51" s="160"/>
      <c r="ZN51" s="160"/>
      <c r="ZO51" s="160"/>
      <c r="ZP51" s="160"/>
      <c r="ZQ51" s="160"/>
      <c r="ZR51" s="160"/>
      <c r="ZS51" s="160"/>
      <c r="ZT51" s="160"/>
      <c r="ZU51" s="160"/>
      <c r="ZV51" s="160"/>
      <c r="ZW51" s="160"/>
      <c r="ZX51" s="160"/>
      <c r="ZY51" s="160"/>
      <c r="ZZ51" s="160"/>
      <c r="AAA51" s="160"/>
      <c r="AAB51" s="160"/>
      <c r="AAC51" s="160"/>
      <c r="AAD51" s="160"/>
      <c r="AAE51" s="160"/>
      <c r="AAF51" s="160"/>
      <c r="AAG51" s="160"/>
      <c r="AAH51" s="160"/>
      <c r="AAI51" s="160"/>
      <c r="AAJ51" s="160"/>
      <c r="AAK51" s="160"/>
      <c r="AAL51" s="160"/>
      <c r="AAM51" s="160"/>
      <c r="AAN51" s="160"/>
      <c r="AAO51" s="160"/>
      <c r="AAP51" s="160"/>
      <c r="AAQ51" s="160"/>
      <c r="AAR51" s="160"/>
      <c r="AAS51" s="160"/>
      <c r="AAT51" s="160"/>
      <c r="AAU51" s="160"/>
      <c r="AAV51" s="160"/>
      <c r="AAW51" s="160"/>
      <c r="AAX51" s="160"/>
      <c r="AAY51" s="160"/>
      <c r="AAZ51" s="160"/>
      <c r="ABA51" s="160"/>
      <c r="ABB51" s="160"/>
      <c r="ABC51" s="160"/>
      <c r="ABD51" s="160"/>
      <c r="ABE51" s="160"/>
      <c r="ABF51" s="160"/>
      <c r="ABG51" s="160"/>
      <c r="ABH51" s="160"/>
      <c r="ABI51" s="160"/>
      <c r="ABJ51" s="160"/>
      <c r="ABK51" s="160"/>
      <c r="ABL51" s="160"/>
      <c r="ABM51" s="160"/>
      <c r="ABN51" s="160"/>
      <c r="ABO51" s="160"/>
      <c r="ABP51" s="160"/>
      <c r="ABQ51" s="160"/>
      <c r="ABR51" s="160"/>
      <c r="ABS51" s="160"/>
      <c r="ABT51" s="160"/>
      <c r="ABU51" s="160"/>
      <c r="ABV51" s="160"/>
      <c r="ABW51" s="160"/>
      <c r="ABX51" s="160"/>
      <c r="ABY51" s="160"/>
      <c r="ABZ51" s="160"/>
      <c r="ACA51" s="160"/>
      <c r="ACB51" s="160"/>
      <c r="ACC51" s="160"/>
      <c r="ACD51" s="160"/>
      <c r="ACE51" s="160"/>
      <c r="ACF51" s="160"/>
      <c r="ACG51" s="160"/>
      <c r="ACH51" s="160"/>
      <c r="ACI51" s="160"/>
      <c r="ACJ51" s="160"/>
      <c r="ACK51" s="160"/>
      <c r="ACL51" s="160"/>
      <c r="ACM51" s="160"/>
      <c r="ACN51" s="160"/>
      <c r="ACO51" s="160"/>
      <c r="ACP51" s="160"/>
      <c r="ACQ51" s="160"/>
      <c r="ACR51" s="160"/>
      <c r="ACS51" s="160"/>
      <c r="ACT51" s="160"/>
      <c r="ACU51" s="160"/>
      <c r="ACV51" s="160"/>
      <c r="ACW51" s="160"/>
      <c r="ACX51" s="160"/>
      <c r="ACY51" s="160"/>
      <c r="ACZ51" s="160"/>
      <c r="ADA51" s="160"/>
      <c r="ADB51" s="160"/>
      <c r="ADC51" s="160"/>
      <c r="ADD51" s="160"/>
      <c r="ADE51" s="160"/>
      <c r="ADF51" s="160"/>
      <c r="ADG51" s="160"/>
      <c r="ADH51" s="160"/>
      <c r="ADI51" s="160"/>
      <c r="ADJ51" s="160"/>
      <c r="ADK51" s="160"/>
      <c r="ADL51" s="160"/>
      <c r="ADM51" s="160"/>
      <c r="ADN51" s="160"/>
      <c r="ADO51" s="160"/>
      <c r="ADP51" s="160"/>
      <c r="ADQ51" s="160"/>
      <c r="ADR51" s="160"/>
      <c r="ADS51" s="160"/>
      <c r="ADT51" s="160"/>
      <c r="ADU51" s="160"/>
      <c r="ADV51" s="160"/>
      <c r="ADW51" s="160"/>
      <c r="ADX51" s="160"/>
      <c r="ADY51" s="160"/>
      <c r="ADZ51" s="160"/>
      <c r="AEA51" s="160"/>
      <c r="AEB51" s="160"/>
      <c r="AEC51" s="160"/>
      <c r="AED51" s="160"/>
      <c r="AEE51" s="160"/>
      <c r="AEF51" s="160"/>
      <c r="AEG51" s="160"/>
      <c r="AEH51" s="160"/>
      <c r="AEI51" s="160"/>
      <c r="AEJ51" s="160"/>
      <c r="AEK51" s="160"/>
      <c r="AEL51" s="160"/>
      <c r="AEM51" s="160"/>
      <c r="AEN51" s="160"/>
      <c r="AEO51" s="160"/>
      <c r="AEP51" s="160"/>
      <c r="AEQ51" s="160"/>
      <c r="AER51" s="160"/>
      <c r="AES51" s="160"/>
      <c r="AET51" s="160"/>
      <c r="AEU51" s="160"/>
      <c r="AEV51" s="160"/>
      <c r="AEW51" s="160"/>
      <c r="AEX51" s="160"/>
      <c r="AEY51" s="160"/>
      <c r="AEZ51" s="160"/>
      <c r="AFA51" s="160"/>
      <c r="AFB51" s="160"/>
      <c r="AFC51" s="160"/>
      <c r="AFD51" s="160"/>
      <c r="AFE51" s="160"/>
      <c r="AFF51" s="160"/>
      <c r="AFG51" s="160"/>
      <c r="AFH51" s="160"/>
      <c r="AFI51" s="160"/>
      <c r="AFJ51" s="160"/>
      <c r="AFK51" s="160"/>
      <c r="AFL51" s="160"/>
      <c r="AFM51" s="160"/>
      <c r="AFN51" s="160"/>
      <c r="AFO51" s="160"/>
      <c r="AFP51" s="160"/>
      <c r="AFQ51" s="160"/>
      <c r="AFR51" s="160"/>
      <c r="AFS51" s="160"/>
      <c r="AFT51" s="160"/>
      <c r="AFU51" s="160"/>
      <c r="AFV51" s="160"/>
      <c r="AFW51" s="160"/>
      <c r="AFX51" s="160"/>
      <c r="AFY51" s="160"/>
      <c r="AFZ51" s="160"/>
      <c r="AGA51" s="160"/>
      <c r="AGB51" s="160"/>
      <c r="AGC51" s="160"/>
      <c r="AGD51" s="160"/>
      <c r="AGE51" s="160"/>
      <c r="AGF51" s="160"/>
      <c r="AGG51" s="160"/>
      <c r="AGH51" s="160"/>
      <c r="AGI51" s="160"/>
      <c r="AGJ51" s="160"/>
      <c r="AGK51" s="160"/>
      <c r="AGL51" s="160"/>
      <c r="AGM51" s="160"/>
      <c r="AGN51" s="160"/>
      <c r="AGO51" s="160"/>
      <c r="AGP51" s="160"/>
      <c r="AGQ51" s="160"/>
      <c r="AGR51" s="160"/>
      <c r="AGS51" s="160"/>
      <c r="AGT51" s="160"/>
      <c r="AGU51" s="160"/>
      <c r="AGV51" s="160"/>
      <c r="AGW51" s="160"/>
      <c r="AGX51" s="160"/>
      <c r="AGY51" s="160"/>
      <c r="AGZ51" s="160"/>
      <c r="AHA51" s="160"/>
      <c r="AHB51" s="160"/>
      <c r="AHC51" s="160"/>
      <c r="AHD51" s="160"/>
      <c r="AHE51" s="160"/>
      <c r="AHF51" s="160"/>
      <c r="AHG51" s="160"/>
      <c r="AHH51" s="160"/>
      <c r="AHI51" s="160"/>
      <c r="AHJ51" s="160"/>
      <c r="AHK51" s="160"/>
      <c r="AHL51" s="160"/>
      <c r="AHM51" s="160"/>
      <c r="AHN51" s="160"/>
      <c r="AHO51" s="160"/>
      <c r="AHP51" s="160"/>
      <c r="AHQ51" s="160"/>
      <c r="AHR51" s="160"/>
      <c r="AHS51" s="160"/>
      <c r="AHT51" s="160"/>
      <c r="AHU51" s="160"/>
      <c r="AHV51" s="160"/>
      <c r="AHW51" s="160"/>
      <c r="AHX51" s="160"/>
      <c r="AHY51" s="160"/>
      <c r="AHZ51" s="160"/>
      <c r="AIA51" s="160"/>
      <c r="AIB51" s="160"/>
      <c r="AIC51" s="160"/>
      <c r="AID51" s="160"/>
      <c r="AIE51" s="160"/>
      <c r="AIF51" s="160"/>
      <c r="AIG51" s="160"/>
      <c r="AIH51" s="160"/>
      <c r="AII51" s="160"/>
      <c r="AIJ51" s="160"/>
      <c r="AIK51" s="160"/>
      <c r="AIL51" s="160"/>
      <c r="AIM51" s="160"/>
      <c r="AIN51" s="160"/>
      <c r="AIO51" s="160"/>
      <c r="AIP51" s="160"/>
      <c r="AIQ51" s="160"/>
      <c r="AIR51" s="160"/>
      <c r="AIS51" s="160"/>
      <c r="AIT51" s="160"/>
      <c r="AIU51" s="160"/>
      <c r="AIV51" s="160"/>
      <c r="AIW51" s="160"/>
      <c r="AIX51" s="160"/>
      <c r="AIY51" s="160"/>
      <c r="AIZ51" s="160"/>
      <c r="AJA51" s="160"/>
      <c r="AJB51" s="160"/>
      <c r="AJC51" s="160"/>
      <c r="AJD51" s="160"/>
      <c r="AJE51" s="160"/>
      <c r="AJF51" s="160"/>
      <c r="AJG51" s="160"/>
      <c r="AJH51" s="160"/>
      <c r="AJI51" s="160"/>
      <c r="AJJ51" s="160"/>
      <c r="AJK51" s="160"/>
      <c r="AJL51" s="160"/>
      <c r="AJM51" s="160"/>
      <c r="AJN51" s="160"/>
      <c r="AJO51" s="160"/>
      <c r="AJP51" s="160"/>
      <c r="AJQ51" s="160"/>
      <c r="AJR51" s="160"/>
      <c r="AJS51" s="160"/>
      <c r="AJT51" s="160"/>
      <c r="AJU51" s="160"/>
      <c r="AJV51" s="160"/>
      <c r="AJW51" s="160"/>
      <c r="AJX51" s="160"/>
      <c r="AJY51" s="160"/>
      <c r="AJZ51" s="160"/>
      <c r="AKA51" s="160"/>
      <c r="AKB51" s="160"/>
      <c r="AKC51" s="160"/>
      <c r="AKD51" s="160"/>
      <c r="AKE51" s="160"/>
      <c r="AKF51" s="160"/>
      <c r="AKG51" s="160"/>
      <c r="AKH51" s="160"/>
      <c r="AKI51" s="160"/>
      <c r="AKJ51" s="160"/>
      <c r="AKK51" s="160"/>
      <c r="AKL51" s="160"/>
      <c r="AKM51" s="160"/>
      <c r="AKN51" s="160"/>
      <c r="AKO51" s="160"/>
      <c r="AKP51" s="160"/>
      <c r="AKQ51" s="160"/>
      <c r="AKR51" s="160"/>
      <c r="AKS51" s="160"/>
      <c r="AKT51" s="160"/>
      <c r="AKU51" s="160"/>
      <c r="AKV51" s="160"/>
      <c r="AKW51" s="160"/>
      <c r="AKX51" s="160"/>
      <c r="AKY51" s="160"/>
      <c r="AKZ51" s="160"/>
      <c r="ALA51" s="160"/>
      <c r="ALB51" s="160"/>
      <c r="ALC51" s="160"/>
      <c r="ALD51" s="160"/>
      <c r="ALE51" s="160"/>
      <c r="ALF51" s="160"/>
      <c r="ALG51" s="160"/>
      <c r="ALH51" s="160"/>
      <c r="ALI51" s="160"/>
      <c r="ALJ51" s="160"/>
      <c r="ALK51" s="160"/>
      <c r="ALL51" s="160"/>
      <c r="ALM51" s="160"/>
      <c r="ALN51" s="160"/>
      <c r="ALO51" s="160"/>
      <c r="ALP51" s="160"/>
      <c r="ALQ51" s="160"/>
      <c r="ALR51" s="160"/>
      <c r="ALS51" s="160"/>
      <c r="ALT51" s="160"/>
      <c r="ALU51" s="160"/>
      <c r="ALV51" s="160"/>
      <c r="ALW51" s="160"/>
      <c r="ALX51" s="160"/>
      <c r="ALY51" s="160"/>
      <c r="ALZ51" s="160"/>
      <c r="AMA51" s="160"/>
      <c r="AMB51" s="160"/>
      <c r="AMC51" s="160"/>
      <c r="AMD51" s="160"/>
      <c r="AME51" s="160"/>
      <c r="AMF51" s="160"/>
      <c r="AMG51" s="160"/>
      <c r="AMH51" s="160"/>
      <c r="AMI51" s="160"/>
      <c r="AMJ51" s="160"/>
      <c r="AMK51" s="160"/>
      <c r="AML51" s="160"/>
      <c r="AMM51" s="160"/>
      <c r="AMN51" s="160"/>
      <c r="AMO51" s="160"/>
      <c r="AMP51" s="160"/>
      <c r="AMQ51" s="160"/>
      <c r="AMR51" s="160"/>
      <c r="AMS51" s="160"/>
      <c r="AMT51" s="160"/>
      <c r="AMU51" s="160"/>
      <c r="AMV51" s="160"/>
      <c r="AMW51" s="160"/>
      <c r="AMX51" s="160"/>
      <c r="AMY51" s="160"/>
      <c r="AMZ51" s="160"/>
      <c r="ANA51" s="160"/>
      <c r="ANB51" s="160"/>
      <c r="ANC51" s="160"/>
      <c r="AND51" s="160"/>
      <c r="ANE51" s="160"/>
      <c r="ANF51" s="160"/>
      <c r="ANG51" s="160"/>
      <c r="ANH51" s="160"/>
      <c r="ANI51" s="160"/>
      <c r="ANJ51" s="160"/>
      <c r="ANK51" s="160"/>
      <c r="ANL51" s="160"/>
      <c r="ANM51" s="160"/>
      <c r="ANN51" s="160"/>
      <c r="ANO51" s="160"/>
      <c r="ANP51" s="160"/>
      <c r="ANQ51" s="160"/>
      <c r="ANR51" s="160"/>
      <c r="ANS51" s="160"/>
      <c r="ANT51" s="160"/>
      <c r="ANU51" s="160"/>
      <c r="ANV51" s="160"/>
      <c r="ANW51" s="160"/>
      <c r="ANX51" s="160"/>
      <c r="ANY51" s="160"/>
      <c r="ANZ51" s="160"/>
      <c r="AOA51" s="160"/>
      <c r="AOB51" s="160"/>
      <c r="AOC51" s="160"/>
      <c r="AOD51" s="160"/>
      <c r="AOE51" s="160"/>
      <c r="AOF51" s="160"/>
      <c r="AOG51" s="160"/>
      <c r="AOH51" s="160"/>
      <c r="AOI51" s="160"/>
      <c r="AOJ51" s="160"/>
      <c r="AOK51" s="160"/>
      <c r="AOL51" s="160"/>
      <c r="AOM51" s="160"/>
      <c r="AON51" s="160"/>
      <c r="AOO51" s="160"/>
      <c r="AOP51" s="160"/>
      <c r="AOQ51" s="160"/>
      <c r="AOR51" s="160"/>
      <c r="AOS51" s="160"/>
      <c r="AOT51" s="160"/>
      <c r="AOU51" s="160"/>
      <c r="AOV51" s="160"/>
      <c r="AOW51" s="160"/>
      <c r="AOX51" s="160"/>
      <c r="AOY51" s="160"/>
      <c r="AOZ51" s="160"/>
      <c r="APA51" s="160"/>
      <c r="APB51" s="160"/>
      <c r="APC51" s="160"/>
      <c r="APD51" s="160"/>
      <c r="APE51" s="160"/>
      <c r="APF51" s="160"/>
      <c r="APG51" s="160"/>
      <c r="APH51" s="160"/>
      <c r="API51" s="160"/>
      <c r="APJ51" s="160"/>
      <c r="APK51" s="160"/>
      <c r="APL51" s="160"/>
      <c r="APM51" s="160"/>
      <c r="APN51" s="160"/>
      <c r="APO51" s="160"/>
      <c r="APP51" s="160"/>
      <c r="APQ51" s="160"/>
      <c r="APR51" s="160"/>
      <c r="APS51" s="160"/>
      <c r="APT51" s="160"/>
      <c r="APU51" s="160"/>
      <c r="APV51" s="160"/>
      <c r="APW51" s="160"/>
      <c r="APX51" s="160"/>
      <c r="APY51" s="160"/>
      <c r="APZ51" s="160"/>
      <c r="AQA51" s="160"/>
      <c r="AQB51" s="160"/>
      <c r="AQC51" s="160"/>
      <c r="AQD51" s="160"/>
      <c r="AQE51" s="160"/>
      <c r="AQF51" s="160"/>
      <c r="AQG51" s="160"/>
      <c r="AQH51" s="160"/>
      <c r="AQI51" s="160"/>
      <c r="AQJ51" s="160"/>
      <c r="AQK51" s="160"/>
      <c r="AQL51" s="160"/>
      <c r="AQM51" s="160"/>
      <c r="AQN51" s="160"/>
      <c r="AQO51" s="160"/>
      <c r="AQP51" s="160"/>
      <c r="AQQ51" s="160"/>
      <c r="AQR51" s="160"/>
      <c r="AQS51" s="160"/>
      <c r="AQT51" s="160"/>
      <c r="AQU51" s="160"/>
      <c r="AQV51" s="160"/>
      <c r="AQW51" s="160"/>
      <c r="AQX51" s="160"/>
      <c r="AQY51" s="160"/>
      <c r="AQZ51" s="160"/>
      <c r="ARA51" s="160"/>
      <c r="ARB51" s="160"/>
      <c r="ARC51" s="160"/>
      <c r="ARD51" s="160"/>
      <c r="ARE51" s="160"/>
      <c r="ARF51" s="160"/>
      <c r="ARG51" s="160"/>
      <c r="ARH51" s="160"/>
      <c r="ARI51" s="160"/>
      <c r="ARJ51" s="160"/>
      <c r="ARK51" s="160"/>
      <c r="ARL51" s="160"/>
      <c r="ARM51" s="160"/>
      <c r="ARN51" s="160"/>
      <c r="ARO51" s="160"/>
      <c r="ARP51" s="160"/>
      <c r="ARQ51" s="160"/>
      <c r="ARR51" s="160"/>
      <c r="ARS51" s="160"/>
      <c r="ART51" s="160"/>
      <c r="ARU51" s="160"/>
      <c r="ARV51" s="160"/>
      <c r="ARW51" s="160"/>
      <c r="ARX51" s="160"/>
      <c r="ARY51" s="160"/>
      <c r="ARZ51" s="160"/>
      <c r="ASA51" s="160"/>
      <c r="ASB51" s="160"/>
      <c r="ASC51" s="160"/>
      <c r="ASD51" s="160"/>
      <c r="ASE51" s="160"/>
      <c r="ASF51" s="160"/>
      <c r="ASG51" s="160"/>
      <c r="ASH51" s="160"/>
      <c r="ASI51" s="160"/>
      <c r="ASJ51" s="160"/>
      <c r="ASK51" s="160"/>
      <c r="ASL51" s="160"/>
      <c r="ASM51" s="160"/>
      <c r="ASN51" s="160"/>
      <c r="ASO51" s="160"/>
      <c r="ASP51" s="160"/>
      <c r="ASQ51" s="160"/>
      <c r="ASR51" s="160"/>
      <c r="ASS51" s="160"/>
      <c r="AST51" s="160"/>
      <c r="ASU51" s="160"/>
      <c r="ASV51" s="160"/>
      <c r="ASW51" s="160"/>
      <c r="ASX51" s="160"/>
      <c r="ASY51" s="160"/>
      <c r="ASZ51" s="160"/>
      <c r="ATA51" s="160"/>
      <c r="ATB51" s="160"/>
      <c r="ATC51" s="160"/>
      <c r="ATD51" s="160"/>
      <c r="ATE51" s="160"/>
      <c r="ATF51" s="160"/>
      <c r="ATG51" s="160"/>
      <c r="ATH51" s="160"/>
      <c r="ATI51" s="160"/>
      <c r="ATJ51" s="160"/>
      <c r="ATK51" s="160"/>
      <c r="ATL51" s="160"/>
      <c r="ATM51" s="160"/>
      <c r="ATN51" s="160"/>
      <c r="ATO51" s="160"/>
      <c r="ATP51" s="160"/>
      <c r="ATQ51" s="160"/>
      <c r="ATR51" s="160"/>
      <c r="ATS51" s="160"/>
      <c r="ATT51" s="160"/>
      <c r="ATU51" s="160"/>
      <c r="ATV51" s="160"/>
      <c r="ATW51" s="160"/>
      <c r="ATX51" s="160"/>
      <c r="ATY51" s="160"/>
      <c r="ATZ51" s="160"/>
      <c r="AUA51" s="160"/>
      <c r="AUB51" s="160"/>
      <c r="AUC51" s="160"/>
      <c r="AUD51" s="160"/>
      <c r="AUE51" s="160"/>
      <c r="AUF51" s="160"/>
      <c r="AUG51" s="160"/>
      <c r="AUH51" s="160"/>
      <c r="AUI51" s="160"/>
      <c r="AUJ51" s="160"/>
      <c r="AUK51" s="160"/>
      <c r="AUL51" s="160"/>
      <c r="AUM51" s="160"/>
      <c r="AUN51" s="160"/>
      <c r="AUO51" s="160"/>
      <c r="AUP51" s="160"/>
      <c r="AUQ51" s="160"/>
      <c r="AUR51" s="160"/>
      <c r="AUS51" s="160"/>
      <c r="AUT51" s="160"/>
      <c r="AUU51" s="160"/>
      <c r="AUV51" s="160"/>
      <c r="AUW51" s="160"/>
      <c r="AUX51" s="160"/>
      <c r="AUY51" s="160"/>
      <c r="AUZ51" s="160"/>
      <c r="AVA51" s="160"/>
      <c r="AVB51" s="160"/>
      <c r="AVC51" s="160"/>
      <c r="AVD51" s="160"/>
      <c r="AVE51" s="160"/>
      <c r="AVF51" s="160"/>
      <c r="AVG51" s="160"/>
      <c r="AVH51" s="160"/>
      <c r="AVI51" s="160"/>
      <c r="AVJ51" s="160"/>
      <c r="AVK51" s="160"/>
      <c r="AVL51" s="160"/>
      <c r="AVM51" s="160"/>
      <c r="AVN51" s="160"/>
      <c r="AVO51" s="160"/>
      <c r="AVP51" s="160"/>
      <c r="AVQ51" s="160"/>
      <c r="AVR51" s="160"/>
      <c r="AVS51" s="160"/>
      <c r="AVT51" s="160"/>
      <c r="AVU51" s="160"/>
      <c r="AVV51" s="160"/>
      <c r="AVW51" s="160"/>
      <c r="AVX51" s="160"/>
      <c r="AVY51" s="160"/>
      <c r="AVZ51" s="160"/>
      <c r="AWA51" s="160"/>
      <c r="AWB51" s="160"/>
      <c r="AWC51" s="160"/>
      <c r="AWD51" s="160"/>
      <c r="AWE51" s="160"/>
      <c r="AWF51" s="160"/>
      <c r="AWG51" s="160"/>
      <c r="AWH51" s="160"/>
      <c r="AWI51" s="160"/>
      <c r="AWJ51" s="160"/>
      <c r="AWK51" s="160"/>
      <c r="AWL51" s="160"/>
      <c r="AWM51" s="160"/>
      <c r="AWN51" s="160"/>
      <c r="AWO51" s="160"/>
      <c r="AWP51" s="160"/>
      <c r="AWQ51" s="160"/>
      <c r="AWR51" s="160"/>
      <c r="AWS51" s="160"/>
      <c r="AWT51" s="160"/>
      <c r="AWU51" s="160"/>
      <c r="AWV51" s="160"/>
      <c r="AWW51" s="160"/>
      <c r="AWX51" s="160"/>
      <c r="AWY51" s="160"/>
      <c r="AWZ51" s="160"/>
      <c r="AXA51" s="160"/>
      <c r="AXB51" s="160"/>
      <c r="AXC51" s="160"/>
      <c r="AXD51" s="160"/>
      <c r="AXE51" s="160"/>
      <c r="AXF51" s="160"/>
      <c r="AXG51" s="160"/>
      <c r="AXH51" s="160"/>
      <c r="AXI51" s="160"/>
      <c r="AXJ51" s="160"/>
      <c r="AXK51" s="160"/>
      <c r="AXL51" s="160"/>
      <c r="AXM51" s="160"/>
      <c r="AXN51" s="160"/>
      <c r="AXO51" s="160"/>
      <c r="AXP51" s="160"/>
      <c r="AXQ51" s="160"/>
      <c r="AXR51" s="160"/>
      <c r="AXS51" s="160"/>
      <c r="AXT51" s="160"/>
      <c r="AXU51" s="160"/>
      <c r="AXV51" s="160"/>
      <c r="AXW51" s="160"/>
      <c r="AXX51" s="160"/>
      <c r="AXY51" s="160"/>
      <c r="AXZ51" s="160"/>
      <c r="AYA51" s="160"/>
      <c r="AYB51" s="160"/>
      <c r="AYC51" s="160"/>
      <c r="AYD51" s="160"/>
      <c r="AYE51" s="160"/>
      <c r="AYF51" s="160"/>
      <c r="AYG51" s="160"/>
      <c r="AYH51" s="160"/>
      <c r="AYI51" s="160"/>
      <c r="AYJ51" s="160"/>
      <c r="AYK51" s="160"/>
      <c r="AYL51" s="160"/>
      <c r="AYM51" s="160"/>
      <c r="AYN51" s="160"/>
      <c r="AYO51" s="160"/>
      <c r="AYP51" s="160"/>
      <c r="AYQ51" s="160"/>
      <c r="AYR51" s="160"/>
      <c r="AYS51" s="160"/>
      <c r="AYT51" s="160"/>
      <c r="AYU51" s="160"/>
      <c r="AYV51" s="160"/>
      <c r="AYW51" s="160"/>
      <c r="AYX51" s="160"/>
      <c r="AYY51" s="160"/>
      <c r="AYZ51" s="160"/>
      <c r="AZA51" s="160"/>
      <c r="AZB51" s="160"/>
      <c r="AZC51" s="160"/>
      <c r="AZD51" s="160"/>
      <c r="AZE51" s="160"/>
      <c r="AZF51" s="160"/>
      <c r="AZG51" s="160"/>
      <c r="AZH51" s="160"/>
      <c r="AZI51" s="160"/>
      <c r="AZJ51" s="160"/>
      <c r="AZK51" s="160"/>
      <c r="AZL51" s="160"/>
      <c r="AZM51" s="160"/>
      <c r="AZN51" s="160"/>
      <c r="AZO51" s="160"/>
      <c r="AZP51" s="160"/>
      <c r="AZQ51" s="160"/>
      <c r="AZR51" s="160"/>
      <c r="AZS51" s="160"/>
      <c r="AZT51" s="160"/>
      <c r="AZU51" s="160"/>
      <c r="AZV51" s="160"/>
      <c r="AZW51" s="160"/>
      <c r="AZX51" s="160"/>
      <c r="AZY51" s="160"/>
      <c r="AZZ51" s="160"/>
      <c r="BAA51" s="160"/>
      <c r="BAB51" s="160"/>
      <c r="BAC51" s="160"/>
      <c r="BAD51" s="160"/>
      <c r="BAE51" s="160"/>
      <c r="BAF51" s="160"/>
      <c r="BAG51" s="160"/>
      <c r="BAH51" s="160"/>
      <c r="BAI51" s="160"/>
      <c r="BAJ51" s="160"/>
      <c r="BAK51" s="160"/>
      <c r="BAL51" s="160"/>
      <c r="BAM51" s="160"/>
      <c r="BAN51" s="160"/>
      <c r="BAO51" s="160"/>
      <c r="BAP51" s="160"/>
      <c r="BAQ51" s="160"/>
      <c r="BAR51" s="160"/>
      <c r="BAS51" s="160"/>
      <c r="BAT51" s="160"/>
      <c r="BAU51" s="160"/>
      <c r="BAV51" s="160"/>
      <c r="BAW51" s="160"/>
      <c r="BAX51" s="160"/>
      <c r="BAY51" s="160"/>
      <c r="BAZ51" s="160"/>
      <c r="BBA51" s="160"/>
      <c r="BBB51" s="160"/>
      <c r="BBC51" s="160"/>
      <c r="BBD51" s="160"/>
      <c r="BBE51" s="160"/>
      <c r="BBF51" s="160"/>
      <c r="BBG51" s="160"/>
      <c r="BBH51" s="160"/>
      <c r="BBI51" s="160"/>
      <c r="BBJ51" s="160"/>
      <c r="BBK51" s="160"/>
      <c r="BBL51" s="160"/>
      <c r="BBM51" s="160"/>
      <c r="BBN51" s="160"/>
      <c r="BBO51" s="160"/>
      <c r="BBP51" s="160"/>
      <c r="BBQ51" s="160"/>
      <c r="BBR51" s="160"/>
      <c r="BBS51" s="160"/>
      <c r="BBT51" s="160"/>
      <c r="BBU51" s="160"/>
      <c r="BBV51" s="160"/>
      <c r="BBW51" s="160"/>
      <c r="BBX51" s="160"/>
      <c r="BBY51" s="160"/>
      <c r="BBZ51" s="160"/>
      <c r="BCA51" s="160"/>
      <c r="BCB51" s="160"/>
      <c r="BCC51" s="160"/>
      <c r="BCD51" s="160"/>
      <c r="BCE51" s="160"/>
      <c r="BCF51" s="160"/>
      <c r="BCG51" s="160"/>
      <c r="BCH51" s="160"/>
      <c r="BCI51" s="160"/>
      <c r="BCJ51" s="160"/>
      <c r="BCK51" s="160"/>
      <c r="BCL51" s="160"/>
      <c r="BCM51" s="160"/>
      <c r="BCN51" s="160"/>
      <c r="BCO51" s="160"/>
      <c r="BCP51" s="160"/>
      <c r="BCQ51" s="160"/>
      <c r="BCR51" s="160"/>
      <c r="BCS51" s="160"/>
      <c r="BCT51" s="160"/>
      <c r="BCU51" s="160"/>
      <c r="BCV51" s="160"/>
      <c r="BCW51" s="160"/>
      <c r="BCX51" s="160"/>
      <c r="BCY51" s="160"/>
      <c r="BCZ51" s="160"/>
      <c r="BDA51" s="160"/>
      <c r="BDB51" s="160"/>
      <c r="BDC51" s="160"/>
      <c r="BDD51" s="160"/>
      <c r="BDE51" s="160"/>
      <c r="BDF51" s="160"/>
      <c r="BDG51" s="160"/>
      <c r="BDH51" s="160"/>
      <c r="BDI51" s="160"/>
      <c r="BDJ51" s="160"/>
      <c r="BDK51" s="160"/>
      <c r="BDL51" s="160"/>
      <c r="BDM51" s="160"/>
      <c r="BDN51" s="160"/>
      <c r="BDO51" s="160"/>
      <c r="BDP51" s="160"/>
      <c r="BDQ51" s="160"/>
      <c r="BDR51" s="160"/>
      <c r="BDS51" s="160"/>
      <c r="BDT51" s="160"/>
      <c r="BDU51" s="160"/>
      <c r="BDV51" s="160"/>
      <c r="BDW51" s="160"/>
      <c r="BDX51" s="160"/>
      <c r="BDY51" s="160"/>
      <c r="BDZ51" s="160"/>
      <c r="BEA51" s="160"/>
      <c r="BEB51" s="160"/>
      <c r="BEC51" s="160"/>
      <c r="BED51" s="160"/>
      <c r="BEE51" s="160"/>
      <c r="BEF51" s="160"/>
      <c r="BEG51" s="160"/>
      <c r="BEH51" s="160"/>
      <c r="BEI51" s="160"/>
      <c r="BEJ51" s="160"/>
      <c r="BEK51" s="160"/>
      <c r="BEL51" s="160"/>
      <c r="BEM51" s="160"/>
      <c r="BEN51" s="160"/>
      <c r="BEO51" s="160"/>
      <c r="BEP51" s="160"/>
      <c r="BEQ51" s="160"/>
      <c r="BER51" s="160"/>
      <c r="BES51" s="160"/>
      <c r="BET51" s="160"/>
      <c r="BEU51" s="160"/>
      <c r="BEV51" s="160"/>
      <c r="BEW51" s="160"/>
      <c r="BEX51" s="160"/>
      <c r="BEY51" s="160"/>
      <c r="BEZ51" s="160"/>
      <c r="BFA51" s="160"/>
      <c r="BFB51" s="160"/>
      <c r="BFC51" s="160"/>
      <c r="BFD51" s="160"/>
      <c r="BFE51" s="160"/>
      <c r="BFF51" s="160"/>
      <c r="BFG51" s="160"/>
      <c r="BFH51" s="160"/>
      <c r="BFI51" s="160"/>
      <c r="BFJ51" s="160"/>
      <c r="BFK51" s="160"/>
      <c r="BFL51" s="160"/>
      <c r="BFM51" s="160"/>
      <c r="BFN51" s="160"/>
      <c r="BFO51" s="160"/>
      <c r="BFP51" s="160"/>
      <c r="BFQ51" s="160"/>
      <c r="BFR51" s="160"/>
      <c r="BFS51" s="160"/>
      <c r="BFT51" s="160"/>
      <c r="BFU51" s="160"/>
      <c r="BFV51" s="160"/>
      <c r="BFW51" s="160"/>
      <c r="BFX51" s="160"/>
      <c r="BFY51" s="160"/>
      <c r="BFZ51" s="160"/>
      <c r="BGA51" s="160"/>
      <c r="BGB51" s="160"/>
      <c r="BGC51" s="160"/>
      <c r="BGD51" s="160"/>
      <c r="BGE51" s="160"/>
      <c r="BGF51" s="160"/>
      <c r="BGG51" s="160"/>
      <c r="BGH51" s="160"/>
      <c r="BGI51" s="160"/>
      <c r="BGJ51" s="160"/>
      <c r="BGK51" s="160"/>
      <c r="BGL51" s="160"/>
      <c r="BGM51" s="160"/>
      <c r="BGN51" s="160"/>
      <c r="BGO51" s="160"/>
      <c r="BGP51" s="160"/>
      <c r="BGQ51" s="160"/>
      <c r="BGR51" s="160"/>
      <c r="BGS51" s="160"/>
      <c r="BGT51" s="160"/>
      <c r="BGU51" s="160"/>
      <c r="BGV51" s="160"/>
      <c r="BGW51" s="160"/>
      <c r="BGX51" s="160"/>
      <c r="BGY51" s="160"/>
      <c r="BGZ51" s="160"/>
      <c r="BHA51" s="160"/>
      <c r="BHB51" s="160"/>
      <c r="BHC51" s="160"/>
      <c r="BHD51" s="160"/>
      <c r="BHE51" s="160"/>
      <c r="BHF51" s="160"/>
      <c r="BHG51" s="160"/>
      <c r="BHH51" s="160"/>
      <c r="BHI51" s="160"/>
      <c r="BHJ51" s="160"/>
      <c r="BHK51" s="160"/>
      <c r="BHL51" s="160"/>
      <c r="BHM51" s="160"/>
      <c r="BHN51" s="160"/>
      <c r="BHO51" s="160"/>
      <c r="BHP51" s="160"/>
      <c r="BHQ51" s="160"/>
      <c r="BHR51" s="160"/>
      <c r="BHS51" s="160"/>
      <c r="BHT51" s="160"/>
      <c r="BHU51" s="160"/>
      <c r="BHV51" s="160"/>
      <c r="BHW51" s="160"/>
      <c r="BHX51" s="160"/>
      <c r="BHY51" s="160"/>
      <c r="BHZ51" s="160"/>
      <c r="BIA51" s="160"/>
      <c r="BIB51" s="160"/>
      <c r="BIC51" s="160"/>
      <c r="BID51" s="160"/>
      <c r="BIE51" s="160"/>
      <c r="BIF51" s="160"/>
      <c r="BIG51" s="160"/>
      <c r="BIH51" s="160"/>
      <c r="BII51" s="160"/>
      <c r="BIJ51" s="160"/>
      <c r="BIK51" s="160"/>
      <c r="BIL51" s="160"/>
      <c r="BIM51" s="160"/>
      <c r="BIN51" s="160"/>
      <c r="BIO51" s="160"/>
      <c r="BIP51" s="160"/>
      <c r="BIQ51" s="160"/>
      <c r="BIR51" s="160"/>
      <c r="BIS51" s="160"/>
      <c r="BIT51" s="160"/>
      <c r="BIU51" s="160"/>
      <c r="BIV51" s="160"/>
      <c r="BIW51" s="160"/>
      <c r="BIX51" s="160"/>
      <c r="BIY51" s="160"/>
      <c r="BIZ51" s="160"/>
      <c r="BJA51" s="160"/>
      <c r="BJB51" s="160"/>
      <c r="BJC51" s="160"/>
      <c r="BJD51" s="160"/>
      <c r="BJE51" s="160"/>
      <c r="BJF51" s="160"/>
      <c r="BJG51" s="160"/>
      <c r="BJH51" s="160"/>
      <c r="BJI51" s="160"/>
      <c r="BJJ51" s="160"/>
      <c r="BJK51" s="160"/>
      <c r="BJL51" s="160"/>
      <c r="BJM51" s="160"/>
      <c r="BJN51" s="160"/>
      <c r="BJO51" s="160"/>
      <c r="BJP51" s="160"/>
      <c r="BJQ51" s="160"/>
      <c r="BJR51" s="160"/>
      <c r="BJS51" s="160"/>
      <c r="BJT51" s="160"/>
      <c r="BJU51" s="160"/>
      <c r="BJV51" s="160"/>
      <c r="BJW51" s="160"/>
      <c r="BJX51" s="160"/>
      <c r="BJY51" s="160"/>
      <c r="BJZ51" s="160"/>
      <c r="BKA51" s="160"/>
      <c r="BKB51" s="160"/>
      <c r="BKC51" s="160"/>
      <c r="BKD51" s="160"/>
      <c r="BKE51" s="160"/>
      <c r="BKF51" s="160"/>
      <c r="BKG51" s="160"/>
      <c r="BKH51" s="160"/>
      <c r="BKI51" s="160"/>
      <c r="BKJ51" s="160"/>
      <c r="BKK51" s="160"/>
      <c r="BKL51" s="160"/>
      <c r="BKM51" s="160"/>
      <c r="BKN51" s="160"/>
      <c r="BKO51" s="160"/>
      <c r="BKP51" s="160"/>
      <c r="BKQ51" s="160"/>
      <c r="BKR51" s="160"/>
      <c r="BKS51" s="160"/>
      <c r="BKT51" s="160"/>
      <c r="BKU51" s="160"/>
      <c r="BKV51" s="160"/>
      <c r="BKW51" s="160"/>
      <c r="BKX51" s="160"/>
      <c r="BKY51" s="160"/>
      <c r="BKZ51" s="160"/>
      <c r="BLA51" s="160"/>
      <c r="BLB51" s="160"/>
      <c r="BLC51" s="160"/>
      <c r="BLD51" s="160"/>
      <c r="BLE51" s="160"/>
      <c r="BLF51" s="160"/>
      <c r="BLG51" s="160"/>
      <c r="BLH51" s="160"/>
      <c r="BLI51" s="160"/>
      <c r="BLJ51" s="160"/>
      <c r="BLK51" s="160"/>
      <c r="BLL51" s="160"/>
      <c r="BLM51" s="160"/>
      <c r="BLN51" s="160"/>
      <c r="BLO51" s="160"/>
      <c r="BLP51" s="160"/>
      <c r="BLQ51" s="160"/>
      <c r="BLR51" s="160"/>
      <c r="BLS51" s="160"/>
      <c r="BLT51" s="160"/>
      <c r="BLU51" s="160"/>
      <c r="BLV51" s="160"/>
      <c r="BLW51" s="160"/>
      <c r="BLX51" s="160"/>
      <c r="BLY51" s="160"/>
      <c r="BLZ51" s="160"/>
      <c r="BMA51" s="160"/>
      <c r="BMB51" s="160"/>
      <c r="BMC51" s="160"/>
      <c r="BMD51" s="160"/>
      <c r="BME51" s="160"/>
      <c r="BMF51" s="160"/>
      <c r="BMG51" s="160"/>
      <c r="BMH51" s="160"/>
      <c r="BMI51" s="160"/>
      <c r="BMJ51" s="160"/>
      <c r="BMK51" s="160"/>
      <c r="BML51" s="160"/>
      <c r="BMM51" s="160"/>
      <c r="BMN51" s="160"/>
      <c r="BMO51" s="160"/>
      <c r="BMP51" s="160"/>
      <c r="BMQ51" s="160"/>
      <c r="BMR51" s="160"/>
      <c r="BMS51" s="160"/>
      <c r="BMT51" s="160"/>
      <c r="BMU51" s="160"/>
      <c r="BMV51" s="160"/>
      <c r="BMW51" s="160"/>
      <c r="BMX51" s="160"/>
      <c r="BMY51" s="160"/>
      <c r="BMZ51" s="160"/>
      <c r="BNA51" s="160"/>
      <c r="BNB51" s="160"/>
      <c r="BNC51" s="160"/>
      <c r="BND51" s="160"/>
      <c r="BNE51" s="160"/>
      <c r="BNF51" s="160"/>
      <c r="BNG51" s="160"/>
      <c r="BNH51" s="160"/>
      <c r="BNI51" s="160"/>
      <c r="BNJ51" s="160"/>
      <c r="BNK51" s="160"/>
      <c r="BNL51" s="160"/>
      <c r="BNM51" s="160"/>
      <c r="BNN51" s="160"/>
      <c r="BNO51" s="160"/>
      <c r="BNP51" s="160"/>
      <c r="BNQ51" s="160"/>
      <c r="BNR51" s="160"/>
      <c r="BNS51" s="160"/>
      <c r="BNT51" s="160"/>
      <c r="BNU51" s="160"/>
      <c r="BNV51" s="160"/>
      <c r="BNW51" s="160"/>
      <c r="BNX51" s="160"/>
      <c r="BNY51" s="160"/>
      <c r="BNZ51" s="160"/>
      <c r="BOA51" s="160"/>
      <c r="BOB51" s="160"/>
      <c r="BOC51" s="160"/>
      <c r="BOD51" s="160"/>
      <c r="BOE51" s="160"/>
      <c r="BOF51" s="160"/>
      <c r="BOG51" s="160"/>
      <c r="BOH51" s="160"/>
      <c r="BOI51" s="160"/>
      <c r="BOJ51" s="160"/>
      <c r="BOK51" s="160"/>
      <c r="BOL51" s="160"/>
      <c r="BOM51" s="160"/>
      <c r="BON51" s="160"/>
      <c r="BOO51" s="160"/>
      <c r="BOP51" s="160"/>
      <c r="BOQ51" s="160"/>
      <c r="BOR51" s="160"/>
      <c r="BOS51" s="160"/>
      <c r="BOT51" s="160"/>
      <c r="BOU51" s="160"/>
      <c r="BOV51" s="160"/>
      <c r="BOW51" s="160"/>
      <c r="BOX51" s="160"/>
      <c r="BOY51" s="160"/>
      <c r="BOZ51" s="160"/>
      <c r="BPA51" s="160"/>
      <c r="BPB51" s="160"/>
      <c r="BPC51" s="160"/>
      <c r="BPD51" s="160"/>
      <c r="BPE51" s="160"/>
      <c r="BPF51" s="160"/>
      <c r="BPG51" s="160"/>
      <c r="BPH51" s="160"/>
      <c r="BPI51" s="160"/>
      <c r="BPJ51" s="160"/>
      <c r="BPK51" s="160"/>
      <c r="BPL51" s="160"/>
      <c r="BPM51" s="160"/>
      <c r="BPN51" s="160"/>
      <c r="BPO51" s="160"/>
      <c r="BPP51" s="160"/>
      <c r="BPQ51" s="160"/>
      <c r="BPR51" s="160"/>
      <c r="BPS51" s="160"/>
      <c r="BPT51" s="160"/>
      <c r="BPU51" s="160"/>
      <c r="BPV51" s="160"/>
      <c r="BPW51" s="160"/>
      <c r="BPX51" s="160"/>
      <c r="BPY51" s="160"/>
      <c r="BPZ51" s="160"/>
      <c r="BQA51" s="160"/>
      <c r="BQB51" s="160"/>
      <c r="BQC51" s="160"/>
      <c r="BQD51" s="160"/>
      <c r="BQE51" s="160"/>
      <c r="BQF51" s="160"/>
      <c r="BQG51" s="160"/>
      <c r="BQH51" s="160"/>
      <c r="BQI51" s="160"/>
      <c r="BQJ51" s="160"/>
      <c r="BQK51" s="160"/>
      <c r="BQL51" s="160"/>
      <c r="BQM51" s="160"/>
      <c r="BQN51" s="160"/>
      <c r="BQO51" s="160"/>
      <c r="BQP51" s="160"/>
      <c r="BQQ51" s="160"/>
      <c r="BQR51" s="160"/>
      <c r="BQS51" s="160"/>
      <c r="BQT51" s="160"/>
      <c r="BQU51" s="160"/>
      <c r="BQV51" s="160"/>
      <c r="BQW51" s="160"/>
      <c r="BQX51" s="160"/>
      <c r="BQY51" s="160"/>
      <c r="BQZ51" s="160"/>
      <c r="BRA51" s="160"/>
      <c r="BRB51" s="160"/>
      <c r="BRC51" s="160"/>
      <c r="BRD51" s="160"/>
      <c r="BRE51" s="160"/>
      <c r="BRF51" s="160"/>
      <c r="BRG51" s="160"/>
      <c r="BRH51" s="160"/>
      <c r="BRI51" s="160"/>
      <c r="BRJ51" s="160"/>
      <c r="BRK51" s="160"/>
      <c r="BRL51" s="160"/>
      <c r="BRM51" s="160"/>
      <c r="BRN51" s="160"/>
      <c r="BRO51" s="160"/>
      <c r="BRP51" s="160"/>
      <c r="BRQ51" s="160"/>
      <c r="BRR51" s="160"/>
      <c r="BRS51" s="160"/>
      <c r="BRT51" s="160"/>
      <c r="BRU51" s="160"/>
      <c r="BRV51" s="160"/>
      <c r="BRW51" s="160"/>
      <c r="BRX51" s="160"/>
      <c r="BRY51" s="160"/>
      <c r="BRZ51" s="160"/>
      <c r="BSA51" s="160"/>
      <c r="BSB51" s="160"/>
      <c r="BSC51" s="160"/>
      <c r="BSD51" s="160"/>
      <c r="BSE51" s="160"/>
      <c r="BSF51" s="160"/>
      <c r="BSG51" s="160"/>
      <c r="BSH51" s="160"/>
      <c r="BSI51" s="160"/>
      <c r="BSJ51" s="160"/>
      <c r="BSK51" s="160"/>
      <c r="BSL51" s="160"/>
      <c r="BSM51" s="160"/>
      <c r="BSN51" s="160"/>
      <c r="BSO51" s="160"/>
      <c r="BSP51" s="160"/>
      <c r="BSQ51" s="160"/>
      <c r="BSR51" s="160"/>
      <c r="BSS51" s="160"/>
      <c r="BST51" s="160"/>
      <c r="BSU51" s="160"/>
      <c r="BSV51" s="160"/>
      <c r="BSW51" s="160"/>
      <c r="BSX51" s="160"/>
      <c r="BSY51" s="160"/>
      <c r="BSZ51" s="160"/>
      <c r="BTA51" s="160"/>
      <c r="BTB51" s="160"/>
      <c r="BTC51" s="160"/>
      <c r="BTD51" s="160"/>
      <c r="BTE51" s="160"/>
      <c r="BTF51" s="160"/>
      <c r="BTG51" s="160"/>
      <c r="BTH51" s="160"/>
      <c r="BTI51" s="160"/>
      <c r="BTJ51" s="160"/>
      <c r="BTK51" s="160"/>
      <c r="BTL51" s="160"/>
      <c r="BTM51" s="160"/>
      <c r="BTN51" s="160"/>
      <c r="BTO51" s="160"/>
      <c r="BTP51" s="160"/>
      <c r="BTQ51" s="160"/>
      <c r="BTR51" s="160"/>
      <c r="BTS51" s="160"/>
      <c r="BTT51" s="160"/>
      <c r="BTU51" s="160"/>
      <c r="BTV51" s="160"/>
      <c r="BTW51" s="160"/>
      <c r="BTX51" s="160"/>
      <c r="BTY51" s="160"/>
      <c r="BTZ51" s="160"/>
      <c r="BUA51" s="160"/>
      <c r="BUB51" s="160"/>
      <c r="BUC51" s="160"/>
      <c r="BUD51" s="160"/>
      <c r="BUE51" s="160"/>
      <c r="BUF51" s="160"/>
      <c r="BUG51" s="160"/>
      <c r="BUH51" s="160"/>
      <c r="BUI51" s="160"/>
      <c r="BUJ51" s="160"/>
      <c r="BUK51" s="160"/>
      <c r="BUL51" s="160"/>
      <c r="BUM51" s="160"/>
      <c r="BUN51" s="160"/>
      <c r="BUO51" s="160"/>
      <c r="BUP51" s="160"/>
      <c r="BUQ51" s="160"/>
      <c r="BUR51" s="160"/>
      <c r="BUS51" s="160"/>
      <c r="BUT51" s="160"/>
      <c r="BUU51" s="160"/>
      <c r="BUV51" s="160"/>
      <c r="BUW51" s="160"/>
      <c r="BUX51" s="160"/>
      <c r="BUY51" s="160"/>
      <c r="BUZ51" s="160"/>
      <c r="BVA51" s="160"/>
      <c r="BVB51" s="160"/>
      <c r="BVC51" s="160"/>
      <c r="BVD51" s="160"/>
      <c r="BVE51" s="160"/>
      <c r="BVF51" s="160"/>
      <c r="BVG51" s="160"/>
      <c r="BVH51" s="160"/>
      <c r="BVI51" s="160"/>
      <c r="BVJ51" s="160"/>
      <c r="BVK51" s="160"/>
      <c r="BVL51" s="160"/>
      <c r="BVM51" s="160"/>
      <c r="BVN51" s="160"/>
      <c r="BVO51" s="160"/>
      <c r="BVP51" s="160"/>
      <c r="BVQ51" s="160"/>
      <c r="BVR51" s="160"/>
      <c r="BVS51" s="160"/>
      <c r="BVT51" s="160"/>
      <c r="BVU51" s="160"/>
      <c r="BVV51" s="160"/>
      <c r="BVW51" s="160"/>
      <c r="BVX51" s="160"/>
      <c r="BVY51" s="160"/>
      <c r="BVZ51" s="160"/>
      <c r="BWA51" s="160"/>
      <c r="BWB51" s="160"/>
      <c r="BWC51" s="160"/>
      <c r="BWD51" s="160"/>
      <c r="BWE51" s="160"/>
      <c r="BWF51" s="160"/>
      <c r="BWG51" s="160"/>
      <c r="BWH51" s="160"/>
      <c r="BWI51" s="160"/>
      <c r="BWJ51" s="160"/>
      <c r="BWK51" s="160"/>
      <c r="BWL51" s="160"/>
      <c r="BWM51" s="160"/>
      <c r="BWN51" s="160"/>
      <c r="BWO51" s="160"/>
      <c r="BWP51" s="160"/>
      <c r="BWQ51" s="160"/>
      <c r="BWR51" s="160"/>
      <c r="BWS51" s="160"/>
      <c r="BWT51" s="160"/>
      <c r="BWU51" s="160"/>
      <c r="BWV51" s="160"/>
      <c r="BWW51" s="160"/>
      <c r="BWX51" s="160"/>
      <c r="BWY51" s="160"/>
      <c r="BWZ51" s="160"/>
      <c r="BXA51" s="160"/>
      <c r="BXB51" s="160"/>
      <c r="BXC51" s="160"/>
      <c r="BXD51" s="160"/>
      <c r="BXE51" s="160"/>
      <c r="BXF51" s="160"/>
      <c r="BXG51" s="160"/>
      <c r="BXH51" s="160"/>
      <c r="BXI51" s="160"/>
      <c r="BXJ51" s="160"/>
      <c r="BXK51" s="160"/>
      <c r="BXL51" s="160"/>
      <c r="BXM51" s="160"/>
      <c r="BXN51" s="160"/>
      <c r="BXO51" s="160"/>
      <c r="BXP51" s="160"/>
      <c r="BXQ51" s="160"/>
      <c r="BXR51" s="160"/>
      <c r="BXS51" s="160"/>
      <c r="BXT51" s="160"/>
      <c r="BXU51" s="160"/>
      <c r="BXV51" s="160"/>
      <c r="BXW51" s="160"/>
      <c r="BXX51" s="160"/>
      <c r="BXY51" s="160"/>
      <c r="BXZ51" s="160"/>
      <c r="BYA51" s="160"/>
      <c r="BYB51" s="160"/>
      <c r="BYC51" s="160"/>
      <c r="BYD51" s="160"/>
      <c r="BYE51" s="160"/>
      <c r="BYF51" s="160"/>
      <c r="BYG51" s="160"/>
    </row>
    <row r="52" spans="1:2009" ht="12.75" customHeight="1" thickBot="1" x14ac:dyDescent="0.3">
      <c r="A52" s="81"/>
      <c r="B52" s="88"/>
      <c r="C52" s="137"/>
      <c r="D52" s="137"/>
      <c r="E52" s="137"/>
      <c r="F52" s="137"/>
      <c r="G52" s="525"/>
    </row>
    <row r="53" spans="1:2009" s="89" customFormat="1" ht="24.95" hidden="1" customHeight="1" x14ac:dyDescent="0.25">
      <c r="A53" s="287" t="s">
        <v>174</v>
      </c>
      <c r="B53" s="288"/>
      <c r="C53" s="289"/>
      <c r="D53" s="298"/>
      <c r="E53" s="298"/>
      <c r="F53" s="298"/>
      <c r="G53" s="529"/>
      <c r="H53"/>
      <c r="I53" s="21"/>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c r="AMK53"/>
      <c r="AML53"/>
      <c r="AMM53"/>
      <c r="AMN53"/>
      <c r="AMO53"/>
      <c r="AMP53"/>
      <c r="AMQ53"/>
      <c r="AMR53"/>
      <c r="AMS53"/>
      <c r="AMT53"/>
      <c r="AMU53"/>
      <c r="AMV53"/>
      <c r="AMW53"/>
      <c r="AMX53"/>
      <c r="AMY53"/>
      <c r="AMZ53"/>
      <c r="ANA53"/>
      <c r="ANB53"/>
      <c r="ANC53"/>
      <c r="AND53"/>
      <c r="ANE53"/>
      <c r="ANF53"/>
      <c r="ANG53"/>
      <c r="ANH53"/>
      <c r="ANI53"/>
      <c r="ANJ53"/>
      <c r="ANK53"/>
      <c r="ANL53"/>
      <c r="ANM53"/>
      <c r="ANN53"/>
      <c r="ANO53"/>
      <c r="ANP53"/>
      <c r="ANQ53"/>
      <c r="ANR53"/>
      <c r="ANS53"/>
      <c r="ANT53"/>
      <c r="ANU53"/>
      <c r="ANV53"/>
      <c r="ANW53"/>
      <c r="ANX53"/>
      <c r="ANY53"/>
      <c r="ANZ53"/>
      <c r="AOA53"/>
      <c r="AOB53"/>
      <c r="AOC53"/>
      <c r="AOD53"/>
      <c r="AOE53"/>
      <c r="AOF53"/>
      <c r="AOG53"/>
      <c r="AOH53"/>
      <c r="AOI53"/>
      <c r="AOJ53"/>
      <c r="AOK53"/>
      <c r="AOL53"/>
      <c r="AOM53"/>
      <c r="AON53"/>
      <c r="AOO53"/>
      <c r="AOP53"/>
      <c r="AOQ53"/>
      <c r="AOR53"/>
      <c r="AOS53"/>
      <c r="AOT53"/>
      <c r="AOU53"/>
      <c r="AOV53"/>
      <c r="AOW53"/>
      <c r="AOX53"/>
      <c r="AOY53"/>
      <c r="AOZ53"/>
      <c r="APA53"/>
      <c r="APB53"/>
      <c r="APC53"/>
      <c r="APD53"/>
      <c r="APE53"/>
      <c r="APF53"/>
      <c r="APG53"/>
      <c r="APH53"/>
      <c r="API53"/>
      <c r="APJ53"/>
      <c r="APK53"/>
      <c r="APL53"/>
      <c r="APM53"/>
      <c r="APN53"/>
      <c r="APO53"/>
      <c r="APP53"/>
      <c r="APQ53"/>
      <c r="APR53"/>
      <c r="APS53"/>
      <c r="APT53"/>
      <c r="APU53"/>
      <c r="APV53"/>
      <c r="APW53"/>
      <c r="APX53"/>
      <c r="APY53"/>
      <c r="APZ53"/>
      <c r="AQA53"/>
      <c r="AQB53"/>
      <c r="AQC53"/>
      <c r="AQD53"/>
      <c r="AQE53"/>
      <c r="AQF53"/>
      <c r="AQG53"/>
      <c r="AQH53"/>
      <c r="AQI53"/>
      <c r="AQJ53"/>
      <c r="AQK53"/>
      <c r="AQL53"/>
      <c r="AQM53"/>
      <c r="AQN53"/>
      <c r="AQO53"/>
      <c r="AQP53"/>
      <c r="AQQ53"/>
      <c r="AQR53"/>
      <c r="AQS53"/>
      <c r="AQT53"/>
      <c r="AQU53"/>
      <c r="AQV53"/>
      <c r="AQW53"/>
      <c r="AQX53"/>
      <c r="AQY53"/>
      <c r="AQZ53"/>
      <c r="ARA53"/>
      <c r="ARB53"/>
      <c r="ARC53"/>
      <c r="ARD53"/>
      <c r="ARE53"/>
      <c r="ARF53"/>
      <c r="ARG53"/>
      <c r="ARH53"/>
      <c r="ARI53"/>
      <c r="ARJ53"/>
      <c r="ARK53"/>
      <c r="ARL53"/>
      <c r="ARM53"/>
      <c r="ARN53"/>
      <c r="ARO53"/>
      <c r="ARP53"/>
      <c r="ARQ53"/>
      <c r="ARR53"/>
      <c r="ARS53"/>
      <c r="ART53"/>
      <c r="ARU53"/>
      <c r="ARV53"/>
      <c r="ARW53"/>
      <c r="ARX53"/>
      <c r="ARY53"/>
      <c r="ARZ53"/>
      <c r="ASA53"/>
      <c r="ASB53"/>
      <c r="ASC53"/>
      <c r="ASD53"/>
      <c r="ASE53"/>
      <c r="ASF53"/>
      <c r="ASG53"/>
      <c r="ASH53"/>
      <c r="ASI53"/>
      <c r="ASJ53"/>
      <c r="ASK53"/>
      <c r="ASL53"/>
      <c r="ASM53"/>
      <c r="ASN53"/>
      <c r="ASO53"/>
      <c r="ASP53"/>
      <c r="ASQ53"/>
      <c r="ASR53"/>
      <c r="ASS53"/>
      <c r="AST53"/>
      <c r="ASU53"/>
      <c r="ASV53"/>
      <c r="ASW53"/>
      <c r="ASX53"/>
      <c r="ASY53"/>
      <c r="ASZ53"/>
      <c r="ATA53"/>
      <c r="ATB53"/>
      <c r="ATC53"/>
      <c r="ATD53"/>
      <c r="ATE53"/>
      <c r="ATF53"/>
      <c r="ATG53"/>
      <c r="ATH53"/>
      <c r="ATI53"/>
      <c r="ATJ53"/>
      <c r="ATK53"/>
      <c r="ATL53"/>
      <c r="ATM53"/>
      <c r="ATN53"/>
      <c r="ATO53"/>
      <c r="ATP53"/>
      <c r="ATQ53"/>
      <c r="ATR53"/>
      <c r="ATS53"/>
      <c r="ATT53"/>
      <c r="ATU53"/>
      <c r="ATV53"/>
      <c r="ATW53"/>
      <c r="ATX53"/>
      <c r="ATY53"/>
      <c r="ATZ53"/>
      <c r="AUA53"/>
      <c r="AUB53"/>
      <c r="AUC53"/>
      <c r="AUD53"/>
      <c r="AUE53"/>
      <c r="AUF53"/>
      <c r="AUG53"/>
      <c r="AUH53"/>
      <c r="AUI53"/>
      <c r="AUJ53"/>
      <c r="AUK53"/>
      <c r="AUL53"/>
      <c r="AUM53"/>
      <c r="AUN53"/>
      <c r="AUO53"/>
      <c r="AUP53"/>
      <c r="AUQ53"/>
      <c r="AUR53"/>
      <c r="AUS53"/>
      <c r="AUT53"/>
      <c r="AUU53"/>
      <c r="AUV53"/>
      <c r="AUW53"/>
      <c r="AUX53"/>
      <c r="AUY53"/>
      <c r="AUZ53"/>
      <c r="AVA53"/>
      <c r="AVB53"/>
      <c r="AVC53"/>
      <c r="AVD53"/>
      <c r="AVE53"/>
      <c r="AVF53"/>
      <c r="AVG53"/>
      <c r="AVH53"/>
      <c r="AVI53"/>
      <c r="AVJ53"/>
      <c r="AVK53"/>
      <c r="AVL53"/>
      <c r="AVM53"/>
      <c r="AVN53"/>
      <c r="AVO53"/>
      <c r="AVP53"/>
      <c r="AVQ53"/>
      <c r="AVR53"/>
      <c r="AVS53"/>
      <c r="AVT53"/>
      <c r="AVU53"/>
      <c r="AVV53"/>
      <c r="AVW53"/>
      <c r="AVX53"/>
      <c r="AVY53"/>
      <c r="AVZ53"/>
      <c r="AWA53"/>
      <c r="AWB53"/>
      <c r="AWC53"/>
      <c r="AWD53"/>
      <c r="AWE53"/>
      <c r="AWF53"/>
      <c r="AWG53"/>
      <c r="AWH53"/>
      <c r="AWI53"/>
      <c r="AWJ53"/>
      <c r="AWK53"/>
      <c r="AWL53"/>
      <c r="AWM53"/>
      <c r="AWN53"/>
      <c r="AWO53"/>
      <c r="AWP53"/>
      <c r="AWQ53"/>
      <c r="AWR53"/>
      <c r="AWS53"/>
      <c r="AWT53"/>
      <c r="AWU53"/>
      <c r="AWV53"/>
      <c r="AWW53"/>
      <c r="AWX53"/>
      <c r="AWY53"/>
      <c r="AWZ53"/>
      <c r="AXA53"/>
      <c r="AXB53"/>
      <c r="AXC53"/>
      <c r="AXD53"/>
      <c r="AXE53"/>
      <c r="AXF53"/>
      <c r="AXG53"/>
      <c r="AXH53"/>
      <c r="AXI53"/>
      <c r="AXJ53"/>
      <c r="AXK53"/>
      <c r="AXL53"/>
      <c r="AXM53"/>
      <c r="AXN53"/>
      <c r="AXO53"/>
      <c r="AXP53"/>
      <c r="AXQ53"/>
      <c r="AXR53"/>
      <c r="AXS53"/>
      <c r="AXT53"/>
      <c r="AXU53"/>
      <c r="AXV53"/>
      <c r="AXW53"/>
      <c r="AXX53"/>
      <c r="AXY53"/>
      <c r="AXZ53"/>
      <c r="AYA53"/>
      <c r="AYB53"/>
      <c r="AYC53"/>
      <c r="AYD53"/>
      <c r="AYE53"/>
      <c r="AYF53"/>
      <c r="AYG53"/>
      <c r="AYH53"/>
      <c r="AYI53"/>
      <c r="AYJ53"/>
      <c r="AYK53"/>
      <c r="AYL53"/>
      <c r="AYM53"/>
      <c r="AYN53"/>
      <c r="AYO53"/>
      <c r="AYP53"/>
      <c r="AYQ53"/>
      <c r="AYR53"/>
      <c r="AYS53"/>
      <c r="AYT53"/>
      <c r="AYU53"/>
      <c r="AYV53"/>
      <c r="AYW53"/>
      <c r="AYX53"/>
      <c r="AYY53"/>
      <c r="AYZ53"/>
      <c r="AZA53"/>
      <c r="AZB53"/>
      <c r="AZC53"/>
      <c r="AZD53"/>
      <c r="AZE53"/>
      <c r="AZF53"/>
      <c r="AZG53"/>
      <c r="AZH53"/>
      <c r="AZI53"/>
      <c r="AZJ53"/>
      <c r="AZK53"/>
      <c r="AZL53"/>
      <c r="AZM53"/>
      <c r="AZN53"/>
      <c r="AZO53"/>
      <c r="AZP53"/>
      <c r="AZQ53"/>
      <c r="AZR53"/>
      <c r="AZS53"/>
      <c r="AZT53"/>
      <c r="AZU53"/>
      <c r="AZV53"/>
      <c r="AZW53"/>
      <c r="AZX53"/>
      <c r="AZY53"/>
      <c r="AZZ53"/>
      <c r="BAA53"/>
      <c r="BAB53"/>
      <c r="BAC53"/>
      <c r="BAD53"/>
      <c r="BAE53"/>
      <c r="BAF53"/>
      <c r="BAG53"/>
      <c r="BAH53"/>
      <c r="BAI53"/>
      <c r="BAJ53"/>
      <c r="BAK53"/>
      <c r="BAL53"/>
      <c r="BAM53"/>
      <c r="BAN53"/>
      <c r="BAO53"/>
      <c r="BAP53"/>
      <c r="BAQ53"/>
      <c r="BAR53"/>
      <c r="BAS53"/>
      <c r="BAT53"/>
      <c r="BAU53"/>
      <c r="BAV53"/>
      <c r="BAW53"/>
      <c r="BAX53"/>
      <c r="BAY53"/>
      <c r="BAZ53"/>
      <c r="BBA53"/>
      <c r="BBB53"/>
      <c r="BBC53"/>
      <c r="BBD53"/>
      <c r="BBE53"/>
      <c r="BBF53"/>
      <c r="BBG53"/>
      <c r="BBH53"/>
      <c r="BBI53"/>
      <c r="BBJ53"/>
      <c r="BBK53"/>
      <c r="BBL53"/>
      <c r="BBM53"/>
      <c r="BBN53"/>
      <c r="BBO53"/>
      <c r="BBP53"/>
      <c r="BBQ53"/>
      <c r="BBR53"/>
      <c r="BBS53"/>
      <c r="BBT53"/>
      <c r="BBU53"/>
      <c r="BBV53"/>
      <c r="BBW53"/>
      <c r="BBX53"/>
      <c r="BBY53"/>
      <c r="BBZ53"/>
      <c r="BCA53"/>
      <c r="BCB53"/>
      <c r="BCC53"/>
      <c r="BCD53"/>
      <c r="BCE53"/>
      <c r="BCF53"/>
      <c r="BCG53"/>
      <c r="BCH53"/>
      <c r="BCI53"/>
      <c r="BCJ53"/>
      <c r="BCK53"/>
      <c r="BCL53"/>
      <c r="BCM53"/>
      <c r="BCN53"/>
      <c r="BCO53"/>
      <c r="BCP53"/>
      <c r="BCQ53"/>
      <c r="BCR53"/>
      <c r="BCS53"/>
      <c r="BCT53"/>
      <c r="BCU53"/>
      <c r="BCV53"/>
      <c r="BCW53"/>
      <c r="BCX53"/>
      <c r="BCY53"/>
      <c r="BCZ53"/>
      <c r="BDA53"/>
      <c r="BDB53"/>
      <c r="BDC53"/>
      <c r="BDD53"/>
      <c r="BDE53"/>
      <c r="BDF53"/>
      <c r="BDG53"/>
      <c r="BDH53"/>
      <c r="BDI53"/>
      <c r="BDJ53"/>
      <c r="BDK53"/>
      <c r="BDL53"/>
      <c r="BDM53"/>
      <c r="BDN53"/>
      <c r="BDO53"/>
      <c r="BDP53"/>
      <c r="BDQ53"/>
      <c r="BDR53"/>
      <c r="BDS53"/>
      <c r="BDT53"/>
      <c r="BDU53"/>
      <c r="BDV53"/>
      <c r="BDW53"/>
      <c r="BDX53"/>
      <c r="BDY53"/>
      <c r="BDZ53"/>
      <c r="BEA53"/>
      <c r="BEB53"/>
      <c r="BEC53"/>
      <c r="BED53"/>
      <c r="BEE53"/>
      <c r="BEF53"/>
      <c r="BEG53"/>
      <c r="BEH53"/>
      <c r="BEI53"/>
      <c r="BEJ53"/>
      <c r="BEK53"/>
      <c r="BEL53"/>
      <c r="BEM53"/>
      <c r="BEN53"/>
      <c r="BEO53"/>
      <c r="BEP53"/>
      <c r="BEQ53"/>
      <c r="BER53"/>
      <c r="BES53"/>
      <c r="BET53"/>
      <c r="BEU53"/>
      <c r="BEV53"/>
      <c r="BEW53"/>
      <c r="BEX53"/>
      <c r="BEY53"/>
      <c r="BEZ53"/>
      <c r="BFA53"/>
      <c r="BFB53"/>
      <c r="BFC53"/>
      <c r="BFD53"/>
      <c r="BFE53"/>
      <c r="BFF53"/>
      <c r="BFG53"/>
      <c r="BFH53"/>
      <c r="BFI53"/>
      <c r="BFJ53"/>
      <c r="BFK53"/>
      <c r="BFL53"/>
      <c r="BFM53"/>
      <c r="BFN53"/>
      <c r="BFO53"/>
      <c r="BFP53"/>
      <c r="BFQ53"/>
      <c r="BFR53"/>
      <c r="BFS53"/>
      <c r="BFT53"/>
      <c r="BFU53"/>
      <c r="BFV53"/>
      <c r="BFW53"/>
      <c r="BFX53"/>
      <c r="BFY53"/>
      <c r="BFZ53"/>
      <c r="BGA53"/>
      <c r="BGB53"/>
      <c r="BGC53"/>
      <c r="BGD53"/>
      <c r="BGE53"/>
      <c r="BGF53"/>
      <c r="BGG53"/>
      <c r="BGH53"/>
      <c r="BGI53"/>
      <c r="BGJ53"/>
      <c r="BGK53"/>
      <c r="BGL53"/>
      <c r="BGM53"/>
      <c r="BGN53"/>
      <c r="BGO53"/>
      <c r="BGP53"/>
      <c r="BGQ53"/>
      <c r="BGR53"/>
      <c r="BGS53"/>
      <c r="BGT53"/>
      <c r="BGU53"/>
      <c r="BGV53"/>
      <c r="BGW53"/>
      <c r="BGX53"/>
      <c r="BGY53"/>
      <c r="BGZ53"/>
      <c r="BHA53"/>
      <c r="BHB53"/>
      <c r="BHC53"/>
      <c r="BHD53"/>
      <c r="BHE53"/>
      <c r="BHF53"/>
      <c r="BHG53"/>
      <c r="BHH53"/>
      <c r="BHI53"/>
      <c r="BHJ53"/>
      <c r="BHK53"/>
      <c r="BHL53"/>
      <c r="BHM53"/>
      <c r="BHN53"/>
      <c r="BHO53"/>
      <c r="BHP53"/>
      <c r="BHQ53"/>
      <c r="BHR53"/>
      <c r="BHS53"/>
      <c r="BHT53"/>
      <c r="BHU53"/>
      <c r="BHV53"/>
      <c r="BHW53"/>
      <c r="BHX53"/>
      <c r="BHY53"/>
      <c r="BHZ53"/>
      <c r="BIA53"/>
      <c r="BIB53"/>
      <c r="BIC53"/>
      <c r="BID53"/>
      <c r="BIE53"/>
      <c r="BIF53"/>
      <c r="BIG53"/>
      <c r="BIH53"/>
      <c r="BII53"/>
      <c r="BIJ53"/>
      <c r="BIK53"/>
      <c r="BIL53"/>
      <c r="BIM53"/>
      <c r="BIN53"/>
      <c r="BIO53"/>
      <c r="BIP53"/>
      <c r="BIQ53"/>
      <c r="BIR53"/>
      <c r="BIS53"/>
      <c r="BIT53"/>
      <c r="BIU53"/>
      <c r="BIV53"/>
      <c r="BIW53"/>
      <c r="BIX53"/>
      <c r="BIY53"/>
      <c r="BIZ53"/>
      <c r="BJA53"/>
      <c r="BJB53"/>
      <c r="BJC53"/>
      <c r="BJD53"/>
      <c r="BJE53"/>
      <c r="BJF53"/>
      <c r="BJG53"/>
      <c r="BJH53"/>
      <c r="BJI53"/>
      <c r="BJJ53"/>
      <c r="BJK53"/>
      <c r="BJL53"/>
      <c r="BJM53"/>
      <c r="BJN53"/>
      <c r="BJO53"/>
      <c r="BJP53"/>
      <c r="BJQ53"/>
      <c r="BJR53"/>
      <c r="BJS53"/>
      <c r="BJT53"/>
      <c r="BJU53"/>
      <c r="BJV53"/>
      <c r="BJW53"/>
      <c r="BJX53"/>
      <c r="BJY53"/>
      <c r="BJZ53"/>
      <c r="BKA53"/>
      <c r="BKB53"/>
      <c r="BKC53"/>
      <c r="BKD53"/>
      <c r="BKE53"/>
      <c r="BKF53"/>
      <c r="BKG53"/>
      <c r="BKH53"/>
      <c r="BKI53"/>
      <c r="BKJ53"/>
      <c r="BKK53"/>
      <c r="BKL53"/>
      <c r="BKM53"/>
      <c r="BKN53"/>
      <c r="BKO53"/>
      <c r="BKP53"/>
      <c r="BKQ53"/>
      <c r="BKR53"/>
      <c r="BKS53"/>
      <c r="BKT53"/>
      <c r="BKU53"/>
      <c r="BKV53"/>
      <c r="BKW53"/>
      <c r="BKX53"/>
      <c r="BKY53"/>
      <c r="BKZ53"/>
      <c r="BLA53"/>
      <c r="BLB53"/>
      <c r="BLC53"/>
      <c r="BLD53"/>
      <c r="BLE53"/>
      <c r="BLF53"/>
      <c r="BLG53"/>
      <c r="BLH53"/>
      <c r="BLI53"/>
      <c r="BLJ53"/>
      <c r="BLK53"/>
      <c r="BLL53"/>
      <c r="BLM53"/>
      <c r="BLN53"/>
      <c r="BLO53"/>
      <c r="BLP53"/>
      <c r="BLQ53"/>
      <c r="BLR53"/>
      <c r="BLS53"/>
      <c r="BLT53"/>
      <c r="BLU53"/>
      <c r="BLV53"/>
      <c r="BLW53"/>
      <c r="BLX53"/>
      <c r="BLY53"/>
      <c r="BLZ53"/>
      <c r="BMA53"/>
      <c r="BMB53"/>
      <c r="BMC53"/>
      <c r="BMD53"/>
      <c r="BME53"/>
      <c r="BMF53"/>
      <c r="BMG53"/>
      <c r="BMH53"/>
      <c r="BMI53"/>
      <c r="BMJ53"/>
      <c r="BMK53"/>
      <c r="BML53"/>
      <c r="BMM53"/>
      <c r="BMN53"/>
      <c r="BMO53"/>
      <c r="BMP53"/>
      <c r="BMQ53"/>
      <c r="BMR53"/>
      <c r="BMS53"/>
      <c r="BMT53"/>
      <c r="BMU53"/>
      <c r="BMV53"/>
      <c r="BMW53"/>
      <c r="BMX53"/>
      <c r="BMY53"/>
      <c r="BMZ53"/>
      <c r="BNA53"/>
      <c r="BNB53"/>
      <c r="BNC53"/>
      <c r="BND53"/>
      <c r="BNE53"/>
      <c r="BNF53"/>
      <c r="BNG53"/>
      <c r="BNH53"/>
      <c r="BNI53"/>
      <c r="BNJ53"/>
      <c r="BNK53"/>
      <c r="BNL53"/>
      <c r="BNM53"/>
      <c r="BNN53"/>
      <c r="BNO53"/>
      <c r="BNP53"/>
      <c r="BNQ53"/>
      <c r="BNR53"/>
      <c r="BNS53"/>
      <c r="BNT53"/>
      <c r="BNU53"/>
      <c r="BNV53"/>
      <c r="BNW53"/>
      <c r="BNX53"/>
      <c r="BNY53"/>
      <c r="BNZ53"/>
      <c r="BOA53"/>
      <c r="BOB53"/>
      <c r="BOC53"/>
      <c r="BOD53"/>
      <c r="BOE53"/>
      <c r="BOF53"/>
      <c r="BOG53"/>
      <c r="BOH53"/>
      <c r="BOI53"/>
      <c r="BOJ53"/>
      <c r="BOK53"/>
      <c r="BOL53"/>
      <c r="BOM53"/>
      <c r="BON53"/>
      <c r="BOO53"/>
      <c r="BOP53"/>
      <c r="BOQ53"/>
      <c r="BOR53"/>
      <c r="BOS53"/>
      <c r="BOT53"/>
      <c r="BOU53"/>
      <c r="BOV53"/>
      <c r="BOW53"/>
      <c r="BOX53"/>
      <c r="BOY53"/>
      <c r="BOZ53"/>
      <c r="BPA53"/>
      <c r="BPB53"/>
      <c r="BPC53"/>
      <c r="BPD53"/>
      <c r="BPE53"/>
      <c r="BPF53"/>
      <c r="BPG53"/>
      <c r="BPH53"/>
      <c r="BPI53"/>
      <c r="BPJ53"/>
      <c r="BPK53"/>
      <c r="BPL53"/>
      <c r="BPM53"/>
      <c r="BPN53"/>
      <c r="BPO53"/>
      <c r="BPP53"/>
      <c r="BPQ53"/>
      <c r="BPR53"/>
      <c r="BPS53"/>
      <c r="BPT53"/>
      <c r="BPU53"/>
      <c r="BPV53"/>
      <c r="BPW53"/>
      <c r="BPX53"/>
      <c r="BPY53"/>
      <c r="BPZ53"/>
      <c r="BQA53"/>
      <c r="BQB53"/>
      <c r="BQC53"/>
      <c r="BQD53"/>
      <c r="BQE53"/>
      <c r="BQF53"/>
      <c r="BQG53"/>
      <c r="BQH53"/>
      <c r="BQI53"/>
      <c r="BQJ53"/>
      <c r="BQK53"/>
      <c r="BQL53"/>
      <c r="BQM53"/>
      <c r="BQN53"/>
      <c r="BQO53"/>
      <c r="BQP53"/>
      <c r="BQQ53"/>
      <c r="BQR53"/>
      <c r="BQS53"/>
      <c r="BQT53"/>
      <c r="BQU53"/>
      <c r="BQV53"/>
      <c r="BQW53"/>
      <c r="BQX53"/>
      <c r="BQY53"/>
      <c r="BQZ53"/>
      <c r="BRA53"/>
      <c r="BRB53"/>
      <c r="BRC53"/>
      <c r="BRD53"/>
      <c r="BRE53"/>
      <c r="BRF53"/>
      <c r="BRG53"/>
      <c r="BRH53"/>
      <c r="BRI53"/>
      <c r="BRJ53"/>
      <c r="BRK53"/>
      <c r="BRL53"/>
      <c r="BRM53"/>
      <c r="BRN53"/>
      <c r="BRO53"/>
      <c r="BRP53"/>
      <c r="BRQ53"/>
      <c r="BRR53"/>
      <c r="BRS53"/>
      <c r="BRT53"/>
      <c r="BRU53"/>
      <c r="BRV53"/>
      <c r="BRW53"/>
      <c r="BRX53"/>
      <c r="BRY53"/>
      <c r="BRZ53"/>
      <c r="BSA53"/>
      <c r="BSB53"/>
      <c r="BSC53"/>
      <c r="BSD53"/>
      <c r="BSE53"/>
      <c r="BSF53"/>
      <c r="BSG53"/>
      <c r="BSH53"/>
      <c r="BSI53"/>
      <c r="BSJ53"/>
      <c r="BSK53"/>
      <c r="BSL53"/>
      <c r="BSM53"/>
      <c r="BSN53"/>
      <c r="BSO53"/>
      <c r="BSP53"/>
      <c r="BSQ53"/>
      <c r="BSR53"/>
      <c r="BSS53"/>
      <c r="BST53"/>
      <c r="BSU53"/>
      <c r="BSV53"/>
      <c r="BSW53"/>
      <c r="BSX53"/>
      <c r="BSY53"/>
      <c r="BSZ53"/>
      <c r="BTA53"/>
      <c r="BTB53"/>
      <c r="BTC53"/>
      <c r="BTD53"/>
      <c r="BTE53"/>
      <c r="BTF53"/>
      <c r="BTG53"/>
      <c r="BTH53"/>
      <c r="BTI53"/>
      <c r="BTJ53"/>
      <c r="BTK53"/>
      <c r="BTL53"/>
      <c r="BTM53"/>
      <c r="BTN53"/>
      <c r="BTO53"/>
      <c r="BTP53"/>
      <c r="BTQ53"/>
      <c r="BTR53"/>
      <c r="BTS53"/>
      <c r="BTT53"/>
      <c r="BTU53"/>
      <c r="BTV53"/>
      <c r="BTW53"/>
      <c r="BTX53"/>
      <c r="BTY53"/>
      <c r="BTZ53"/>
      <c r="BUA53"/>
      <c r="BUB53"/>
      <c r="BUC53"/>
      <c r="BUD53"/>
      <c r="BUE53"/>
      <c r="BUF53"/>
      <c r="BUG53"/>
      <c r="BUH53"/>
      <c r="BUI53"/>
      <c r="BUJ53"/>
      <c r="BUK53"/>
      <c r="BUL53"/>
      <c r="BUM53"/>
      <c r="BUN53"/>
      <c r="BUO53"/>
      <c r="BUP53"/>
      <c r="BUQ53"/>
      <c r="BUR53"/>
      <c r="BUS53"/>
      <c r="BUT53"/>
      <c r="BUU53"/>
      <c r="BUV53"/>
      <c r="BUW53"/>
      <c r="BUX53"/>
      <c r="BUY53"/>
      <c r="BUZ53"/>
      <c r="BVA53"/>
      <c r="BVB53"/>
      <c r="BVC53"/>
      <c r="BVD53"/>
      <c r="BVE53"/>
      <c r="BVF53"/>
      <c r="BVG53"/>
      <c r="BVH53"/>
      <c r="BVI53"/>
      <c r="BVJ53"/>
      <c r="BVK53"/>
      <c r="BVL53"/>
      <c r="BVM53"/>
      <c r="BVN53"/>
      <c r="BVO53"/>
      <c r="BVP53"/>
      <c r="BVQ53"/>
      <c r="BVR53"/>
      <c r="BVS53"/>
      <c r="BVT53"/>
      <c r="BVU53"/>
      <c r="BVV53"/>
      <c r="BVW53"/>
      <c r="BVX53"/>
      <c r="BVY53"/>
      <c r="BVZ53"/>
      <c r="BWA53"/>
      <c r="BWB53"/>
      <c r="BWC53"/>
      <c r="BWD53"/>
      <c r="BWE53"/>
      <c r="BWF53"/>
      <c r="BWG53"/>
      <c r="BWH53"/>
      <c r="BWI53"/>
      <c r="BWJ53"/>
      <c r="BWK53"/>
      <c r="BWL53"/>
      <c r="BWM53"/>
      <c r="BWN53"/>
      <c r="BWO53"/>
      <c r="BWP53"/>
      <c r="BWQ53"/>
      <c r="BWR53"/>
      <c r="BWS53"/>
      <c r="BWT53"/>
      <c r="BWU53"/>
      <c r="BWV53"/>
      <c r="BWW53"/>
      <c r="BWX53"/>
      <c r="BWY53"/>
      <c r="BWZ53"/>
      <c r="BXA53"/>
      <c r="BXB53"/>
      <c r="BXC53"/>
      <c r="BXD53"/>
      <c r="BXE53"/>
      <c r="BXF53"/>
      <c r="BXG53"/>
      <c r="BXH53"/>
      <c r="BXI53"/>
      <c r="BXJ53"/>
      <c r="BXK53"/>
      <c r="BXL53"/>
      <c r="BXM53"/>
      <c r="BXN53"/>
      <c r="BXO53"/>
      <c r="BXP53"/>
      <c r="BXQ53"/>
      <c r="BXR53"/>
      <c r="BXS53"/>
      <c r="BXT53"/>
      <c r="BXU53"/>
      <c r="BXV53"/>
      <c r="BXW53"/>
      <c r="BXX53"/>
      <c r="BXY53"/>
      <c r="BXZ53"/>
      <c r="BYA53"/>
      <c r="BYB53"/>
      <c r="BYC53"/>
      <c r="BYD53"/>
      <c r="BYE53"/>
      <c r="BYF53"/>
      <c r="BYG53"/>
    </row>
    <row r="54" spans="1:2009" s="89" customFormat="1" ht="24.95" hidden="1" customHeight="1" x14ac:dyDescent="0.25">
      <c r="A54" s="290"/>
      <c r="B54" s="293" t="s">
        <v>209</v>
      </c>
      <c r="C54" s="371"/>
      <c r="D54" s="371"/>
      <c r="E54" s="371"/>
      <c r="F54" s="371"/>
      <c r="G54" s="530">
        <f>SUM(C54:F54)</f>
        <v>0</v>
      </c>
      <c r="H54"/>
      <c r="I54" s="21"/>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c r="AMK54"/>
      <c r="AML54"/>
      <c r="AMM54"/>
      <c r="AMN54"/>
      <c r="AMO54"/>
      <c r="AMP54"/>
      <c r="AMQ54"/>
      <c r="AMR54"/>
      <c r="AMS54"/>
      <c r="AMT54"/>
      <c r="AMU54"/>
      <c r="AMV54"/>
      <c r="AMW54"/>
      <c r="AMX54"/>
      <c r="AMY54"/>
      <c r="AMZ54"/>
      <c r="ANA54"/>
      <c r="ANB54"/>
      <c r="ANC54"/>
      <c r="AND54"/>
      <c r="ANE54"/>
      <c r="ANF54"/>
      <c r="ANG54"/>
      <c r="ANH54"/>
      <c r="ANI54"/>
      <c r="ANJ54"/>
      <c r="ANK54"/>
      <c r="ANL54"/>
      <c r="ANM54"/>
      <c r="ANN54"/>
      <c r="ANO54"/>
      <c r="ANP54"/>
      <c r="ANQ54"/>
      <c r="ANR54"/>
      <c r="ANS54"/>
      <c r="ANT54"/>
      <c r="ANU54"/>
      <c r="ANV54"/>
      <c r="ANW54"/>
      <c r="ANX54"/>
      <c r="ANY54"/>
      <c r="ANZ54"/>
      <c r="AOA54"/>
      <c r="AOB54"/>
      <c r="AOC54"/>
      <c r="AOD54"/>
      <c r="AOE54"/>
      <c r="AOF54"/>
      <c r="AOG54"/>
      <c r="AOH54"/>
      <c r="AOI54"/>
      <c r="AOJ54"/>
      <c r="AOK54"/>
      <c r="AOL54"/>
      <c r="AOM54"/>
      <c r="AON54"/>
      <c r="AOO54"/>
      <c r="AOP54"/>
      <c r="AOQ54"/>
      <c r="AOR54"/>
      <c r="AOS54"/>
      <c r="AOT54"/>
      <c r="AOU54"/>
      <c r="AOV54"/>
      <c r="AOW54"/>
      <c r="AOX54"/>
      <c r="AOY54"/>
      <c r="AOZ54"/>
      <c r="APA54"/>
      <c r="APB54"/>
      <c r="APC54"/>
      <c r="APD54"/>
      <c r="APE54"/>
      <c r="APF54"/>
      <c r="APG54"/>
      <c r="APH54"/>
      <c r="API54"/>
      <c r="APJ54"/>
      <c r="APK54"/>
      <c r="APL54"/>
      <c r="APM54"/>
      <c r="APN54"/>
      <c r="APO54"/>
      <c r="APP54"/>
      <c r="APQ54"/>
      <c r="APR54"/>
      <c r="APS54"/>
      <c r="APT54"/>
      <c r="APU54"/>
      <c r="APV54"/>
      <c r="APW54"/>
      <c r="APX54"/>
      <c r="APY54"/>
      <c r="APZ54"/>
      <c r="AQA54"/>
      <c r="AQB54"/>
      <c r="AQC54"/>
      <c r="AQD54"/>
      <c r="AQE54"/>
      <c r="AQF54"/>
      <c r="AQG54"/>
      <c r="AQH54"/>
      <c r="AQI54"/>
      <c r="AQJ54"/>
      <c r="AQK54"/>
      <c r="AQL54"/>
      <c r="AQM54"/>
      <c r="AQN54"/>
      <c r="AQO54"/>
      <c r="AQP54"/>
      <c r="AQQ54"/>
      <c r="AQR54"/>
      <c r="AQS54"/>
      <c r="AQT54"/>
      <c r="AQU54"/>
      <c r="AQV54"/>
      <c r="AQW54"/>
      <c r="AQX54"/>
      <c r="AQY54"/>
      <c r="AQZ54"/>
      <c r="ARA54"/>
      <c r="ARB54"/>
      <c r="ARC54"/>
      <c r="ARD54"/>
      <c r="ARE54"/>
      <c r="ARF54"/>
      <c r="ARG54"/>
      <c r="ARH54"/>
      <c r="ARI54"/>
      <c r="ARJ54"/>
      <c r="ARK54"/>
      <c r="ARL54"/>
      <c r="ARM54"/>
      <c r="ARN54"/>
      <c r="ARO54"/>
      <c r="ARP54"/>
      <c r="ARQ54"/>
      <c r="ARR54"/>
      <c r="ARS54"/>
      <c r="ART54"/>
      <c r="ARU54"/>
      <c r="ARV54"/>
      <c r="ARW54"/>
      <c r="ARX54"/>
      <c r="ARY54"/>
      <c r="ARZ54"/>
      <c r="ASA54"/>
      <c r="ASB54"/>
      <c r="ASC54"/>
      <c r="ASD54"/>
      <c r="ASE54"/>
      <c r="ASF54"/>
      <c r="ASG54"/>
      <c r="ASH54"/>
      <c r="ASI54"/>
      <c r="ASJ54"/>
      <c r="ASK54"/>
      <c r="ASL54"/>
      <c r="ASM54"/>
      <c r="ASN54"/>
      <c r="ASO54"/>
      <c r="ASP54"/>
      <c r="ASQ54"/>
      <c r="ASR54"/>
      <c r="ASS54"/>
      <c r="AST54"/>
      <c r="ASU54"/>
      <c r="ASV54"/>
      <c r="ASW54"/>
      <c r="ASX54"/>
      <c r="ASY54"/>
      <c r="ASZ54"/>
      <c r="ATA54"/>
      <c r="ATB54"/>
      <c r="ATC54"/>
      <c r="ATD54"/>
      <c r="ATE54"/>
      <c r="ATF54"/>
      <c r="ATG54"/>
      <c r="ATH54"/>
      <c r="ATI54"/>
      <c r="ATJ54"/>
      <c r="ATK54"/>
      <c r="ATL54"/>
      <c r="ATM54"/>
      <c r="ATN54"/>
      <c r="ATO54"/>
      <c r="ATP54"/>
      <c r="ATQ54"/>
      <c r="ATR54"/>
      <c r="ATS54"/>
      <c r="ATT54"/>
      <c r="ATU54"/>
      <c r="ATV54"/>
      <c r="ATW54"/>
      <c r="ATX54"/>
      <c r="ATY54"/>
      <c r="ATZ54"/>
      <c r="AUA54"/>
      <c r="AUB54"/>
      <c r="AUC54"/>
      <c r="AUD54"/>
      <c r="AUE54"/>
      <c r="AUF54"/>
      <c r="AUG54"/>
      <c r="AUH54"/>
      <c r="AUI54"/>
      <c r="AUJ54"/>
      <c r="AUK54"/>
      <c r="AUL54"/>
      <c r="AUM54"/>
      <c r="AUN54"/>
      <c r="AUO54"/>
      <c r="AUP54"/>
      <c r="AUQ54"/>
      <c r="AUR54"/>
      <c r="AUS54"/>
      <c r="AUT54"/>
      <c r="AUU54"/>
      <c r="AUV54"/>
      <c r="AUW54"/>
      <c r="AUX54"/>
      <c r="AUY54"/>
      <c r="AUZ54"/>
      <c r="AVA54"/>
      <c r="AVB54"/>
      <c r="AVC54"/>
      <c r="AVD54"/>
      <c r="AVE54"/>
      <c r="AVF54"/>
      <c r="AVG54"/>
      <c r="AVH54"/>
      <c r="AVI54"/>
      <c r="AVJ54"/>
      <c r="AVK54"/>
      <c r="AVL54"/>
      <c r="AVM54"/>
      <c r="AVN54"/>
      <c r="AVO54"/>
      <c r="AVP54"/>
      <c r="AVQ54"/>
      <c r="AVR54"/>
      <c r="AVS54"/>
      <c r="AVT54"/>
      <c r="AVU54"/>
      <c r="AVV54"/>
      <c r="AVW54"/>
      <c r="AVX54"/>
      <c r="AVY54"/>
      <c r="AVZ54"/>
      <c r="AWA54"/>
      <c r="AWB54"/>
      <c r="AWC54"/>
      <c r="AWD54"/>
      <c r="AWE54"/>
      <c r="AWF54"/>
      <c r="AWG54"/>
      <c r="AWH54"/>
      <c r="AWI54"/>
      <c r="AWJ54"/>
      <c r="AWK54"/>
      <c r="AWL54"/>
      <c r="AWM54"/>
      <c r="AWN54"/>
      <c r="AWO54"/>
      <c r="AWP54"/>
      <c r="AWQ54"/>
      <c r="AWR54"/>
      <c r="AWS54"/>
      <c r="AWT54"/>
      <c r="AWU54"/>
      <c r="AWV54"/>
      <c r="AWW54"/>
      <c r="AWX54"/>
      <c r="AWY54"/>
      <c r="AWZ54"/>
      <c r="AXA54"/>
      <c r="AXB54"/>
      <c r="AXC54"/>
      <c r="AXD54"/>
      <c r="AXE54"/>
      <c r="AXF54"/>
      <c r="AXG54"/>
      <c r="AXH54"/>
      <c r="AXI54"/>
      <c r="AXJ54"/>
      <c r="AXK54"/>
      <c r="AXL54"/>
      <c r="AXM54"/>
      <c r="AXN54"/>
      <c r="AXO54"/>
      <c r="AXP54"/>
      <c r="AXQ54"/>
      <c r="AXR54"/>
      <c r="AXS54"/>
      <c r="AXT54"/>
      <c r="AXU54"/>
      <c r="AXV54"/>
      <c r="AXW54"/>
      <c r="AXX54"/>
      <c r="AXY54"/>
      <c r="AXZ54"/>
      <c r="AYA54"/>
      <c r="AYB54"/>
      <c r="AYC54"/>
      <c r="AYD54"/>
      <c r="AYE54"/>
      <c r="AYF54"/>
      <c r="AYG54"/>
      <c r="AYH54"/>
      <c r="AYI54"/>
      <c r="AYJ54"/>
      <c r="AYK54"/>
      <c r="AYL54"/>
      <c r="AYM54"/>
      <c r="AYN54"/>
      <c r="AYO54"/>
      <c r="AYP54"/>
      <c r="AYQ54"/>
      <c r="AYR54"/>
      <c r="AYS54"/>
      <c r="AYT54"/>
      <c r="AYU54"/>
      <c r="AYV54"/>
      <c r="AYW54"/>
      <c r="AYX54"/>
      <c r="AYY54"/>
      <c r="AYZ54"/>
      <c r="AZA54"/>
      <c r="AZB54"/>
      <c r="AZC54"/>
      <c r="AZD54"/>
      <c r="AZE54"/>
      <c r="AZF54"/>
      <c r="AZG54"/>
      <c r="AZH54"/>
      <c r="AZI54"/>
      <c r="AZJ54"/>
      <c r="AZK54"/>
      <c r="AZL54"/>
      <c r="AZM54"/>
      <c r="AZN54"/>
      <c r="AZO54"/>
      <c r="AZP54"/>
      <c r="AZQ54"/>
      <c r="AZR54"/>
      <c r="AZS54"/>
      <c r="AZT54"/>
      <c r="AZU54"/>
      <c r="AZV54"/>
      <c r="AZW54"/>
      <c r="AZX54"/>
      <c r="AZY54"/>
      <c r="AZZ54"/>
      <c r="BAA54"/>
      <c r="BAB54"/>
      <c r="BAC54"/>
      <c r="BAD54"/>
      <c r="BAE54"/>
      <c r="BAF54"/>
      <c r="BAG54"/>
      <c r="BAH54"/>
      <c r="BAI54"/>
      <c r="BAJ54"/>
      <c r="BAK54"/>
      <c r="BAL54"/>
      <c r="BAM54"/>
      <c r="BAN54"/>
      <c r="BAO54"/>
      <c r="BAP54"/>
      <c r="BAQ54"/>
      <c r="BAR54"/>
      <c r="BAS54"/>
      <c r="BAT54"/>
      <c r="BAU54"/>
      <c r="BAV54"/>
      <c r="BAW54"/>
      <c r="BAX54"/>
      <c r="BAY54"/>
      <c r="BAZ54"/>
      <c r="BBA54"/>
      <c r="BBB54"/>
      <c r="BBC54"/>
      <c r="BBD54"/>
      <c r="BBE54"/>
      <c r="BBF54"/>
      <c r="BBG54"/>
      <c r="BBH54"/>
      <c r="BBI54"/>
      <c r="BBJ54"/>
      <c r="BBK54"/>
      <c r="BBL54"/>
      <c r="BBM54"/>
      <c r="BBN54"/>
      <c r="BBO54"/>
      <c r="BBP54"/>
      <c r="BBQ54"/>
      <c r="BBR54"/>
      <c r="BBS54"/>
      <c r="BBT54"/>
      <c r="BBU54"/>
      <c r="BBV54"/>
      <c r="BBW54"/>
      <c r="BBX54"/>
      <c r="BBY54"/>
      <c r="BBZ54"/>
      <c r="BCA54"/>
      <c r="BCB54"/>
      <c r="BCC54"/>
      <c r="BCD54"/>
      <c r="BCE54"/>
      <c r="BCF54"/>
      <c r="BCG54"/>
      <c r="BCH54"/>
      <c r="BCI54"/>
      <c r="BCJ54"/>
      <c r="BCK54"/>
      <c r="BCL54"/>
      <c r="BCM54"/>
      <c r="BCN54"/>
      <c r="BCO54"/>
      <c r="BCP54"/>
      <c r="BCQ54"/>
      <c r="BCR54"/>
      <c r="BCS54"/>
      <c r="BCT54"/>
      <c r="BCU54"/>
      <c r="BCV54"/>
      <c r="BCW54"/>
      <c r="BCX54"/>
      <c r="BCY54"/>
      <c r="BCZ54"/>
      <c r="BDA54"/>
      <c r="BDB54"/>
      <c r="BDC54"/>
      <c r="BDD54"/>
      <c r="BDE54"/>
      <c r="BDF54"/>
      <c r="BDG54"/>
      <c r="BDH54"/>
      <c r="BDI54"/>
      <c r="BDJ54"/>
      <c r="BDK54"/>
      <c r="BDL54"/>
      <c r="BDM54"/>
      <c r="BDN54"/>
      <c r="BDO54"/>
      <c r="BDP54"/>
      <c r="BDQ54"/>
      <c r="BDR54"/>
      <c r="BDS54"/>
      <c r="BDT54"/>
      <c r="BDU54"/>
      <c r="BDV54"/>
      <c r="BDW54"/>
      <c r="BDX54"/>
      <c r="BDY54"/>
      <c r="BDZ54"/>
      <c r="BEA54"/>
      <c r="BEB54"/>
      <c r="BEC54"/>
      <c r="BED54"/>
      <c r="BEE54"/>
      <c r="BEF54"/>
      <c r="BEG54"/>
      <c r="BEH54"/>
      <c r="BEI54"/>
      <c r="BEJ54"/>
      <c r="BEK54"/>
      <c r="BEL54"/>
      <c r="BEM54"/>
      <c r="BEN54"/>
      <c r="BEO54"/>
      <c r="BEP54"/>
      <c r="BEQ54"/>
      <c r="BER54"/>
      <c r="BES54"/>
      <c r="BET54"/>
      <c r="BEU54"/>
      <c r="BEV54"/>
      <c r="BEW54"/>
      <c r="BEX54"/>
      <c r="BEY54"/>
      <c r="BEZ54"/>
      <c r="BFA54"/>
      <c r="BFB54"/>
      <c r="BFC54"/>
      <c r="BFD54"/>
      <c r="BFE54"/>
      <c r="BFF54"/>
      <c r="BFG54"/>
      <c r="BFH54"/>
      <c r="BFI54"/>
      <c r="BFJ54"/>
      <c r="BFK54"/>
      <c r="BFL54"/>
      <c r="BFM54"/>
      <c r="BFN54"/>
      <c r="BFO54"/>
      <c r="BFP54"/>
      <c r="BFQ54"/>
      <c r="BFR54"/>
      <c r="BFS54"/>
      <c r="BFT54"/>
      <c r="BFU54"/>
      <c r="BFV54"/>
      <c r="BFW54"/>
      <c r="BFX54"/>
      <c r="BFY54"/>
      <c r="BFZ54"/>
      <c r="BGA54"/>
      <c r="BGB54"/>
      <c r="BGC54"/>
      <c r="BGD54"/>
      <c r="BGE54"/>
      <c r="BGF54"/>
      <c r="BGG54"/>
      <c r="BGH54"/>
      <c r="BGI54"/>
      <c r="BGJ54"/>
      <c r="BGK54"/>
      <c r="BGL54"/>
      <c r="BGM54"/>
      <c r="BGN54"/>
      <c r="BGO54"/>
      <c r="BGP54"/>
      <c r="BGQ54"/>
      <c r="BGR54"/>
      <c r="BGS54"/>
      <c r="BGT54"/>
      <c r="BGU54"/>
      <c r="BGV54"/>
      <c r="BGW54"/>
      <c r="BGX54"/>
      <c r="BGY54"/>
      <c r="BGZ54"/>
      <c r="BHA54"/>
      <c r="BHB54"/>
      <c r="BHC54"/>
      <c r="BHD54"/>
      <c r="BHE54"/>
      <c r="BHF54"/>
      <c r="BHG54"/>
      <c r="BHH54"/>
      <c r="BHI54"/>
      <c r="BHJ54"/>
      <c r="BHK54"/>
      <c r="BHL54"/>
      <c r="BHM54"/>
      <c r="BHN54"/>
      <c r="BHO54"/>
      <c r="BHP54"/>
      <c r="BHQ54"/>
      <c r="BHR54"/>
      <c r="BHS54"/>
      <c r="BHT54"/>
      <c r="BHU54"/>
      <c r="BHV54"/>
      <c r="BHW54"/>
      <c r="BHX54"/>
      <c r="BHY54"/>
      <c r="BHZ54"/>
      <c r="BIA54"/>
      <c r="BIB54"/>
      <c r="BIC54"/>
      <c r="BID54"/>
      <c r="BIE54"/>
      <c r="BIF54"/>
      <c r="BIG54"/>
      <c r="BIH54"/>
      <c r="BII54"/>
      <c r="BIJ54"/>
      <c r="BIK54"/>
      <c r="BIL54"/>
      <c r="BIM54"/>
      <c r="BIN54"/>
      <c r="BIO54"/>
      <c r="BIP54"/>
      <c r="BIQ54"/>
      <c r="BIR54"/>
      <c r="BIS54"/>
      <c r="BIT54"/>
      <c r="BIU54"/>
      <c r="BIV54"/>
      <c r="BIW54"/>
      <c r="BIX54"/>
      <c r="BIY54"/>
      <c r="BIZ54"/>
      <c r="BJA54"/>
      <c r="BJB54"/>
      <c r="BJC54"/>
      <c r="BJD54"/>
      <c r="BJE54"/>
      <c r="BJF54"/>
      <c r="BJG54"/>
      <c r="BJH54"/>
      <c r="BJI54"/>
      <c r="BJJ54"/>
      <c r="BJK54"/>
      <c r="BJL54"/>
      <c r="BJM54"/>
      <c r="BJN54"/>
      <c r="BJO54"/>
      <c r="BJP54"/>
      <c r="BJQ54"/>
      <c r="BJR54"/>
      <c r="BJS54"/>
      <c r="BJT54"/>
      <c r="BJU54"/>
      <c r="BJV54"/>
      <c r="BJW54"/>
      <c r="BJX54"/>
      <c r="BJY54"/>
      <c r="BJZ54"/>
      <c r="BKA54"/>
      <c r="BKB54"/>
      <c r="BKC54"/>
      <c r="BKD54"/>
      <c r="BKE54"/>
      <c r="BKF54"/>
      <c r="BKG54"/>
      <c r="BKH54"/>
      <c r="BKI54"/>
      <c r="BKJ54"/>
      <c r="BKK54"/>
      <c r="BKL54"/>
      <c r="BKM54"/>
      <c r="BKN54"/>
      <c r="BKO54"/>
      <c r="BKP54"/>
      <c r="BKQ54"/>
      <c r="BKR54"/>
      <c r="BKS54"/>
      <c r="BKT54"/>
      <c r="BKU54"/>
      <c r="BKV54"/>
      <c r="BKW54"/>
      <c r="BKX54"/>
      <c r="BKY54"/>
      <c r="BKZ54"/>
      <c r="BLA54"/>
      <c r="BLB54"/>
      <c r="BLC54"/>
      <c r="BLD54"/>
      <c r="BLE54"/>
      <c r="BLF54"/>
      <c r="BLG54"/>
      <c r="BLH54"/>
      <c r="BLI54"/>
      <c r="BLJ54"/>
      <c r="BLK54"/>
      <c r="BLL54"/>
      <c r="BLM54"/>
      <c r="BLN54"/>
      <c r="BLO54"/>
      <c r="BLP54"/>
      <c r="BLQ54"/>
      <c r="BLR54"/>
      <c r="BLS54"/>
      <c r="BLT54"/>
      <c r="BLU54"/>
      <c r="BLV54"/>
      <c r="BLW54"/>
      <c r="BLX54"/>
      <c r="BLY54"/>
      <c r="BLZ54"/>
      <c r="BMA54"/>
      <c r="BMB54"/>
      <c r="BMC54"/>
      <c r="BMD54"/>
      <c r="BME54"/>
      <c r="BMF54"/>
      <c r="BMG54"/>
      <c r="BMH54"/>
      <c r="BMI54"/>
      <c r="BMJ54"/>
      <c r="BMK54"/>
      <c r="BML54"/>
      <c r="BMM54"/>
      <c r="BMN54"/>
      <c r="BMO54"/>
      <c r="BMP54"/>
      <c r="BMQ54"/>
      <c r="BMR54"/>
      <c r="BMS54"/>
      <c r="BMT54"/>
      <c r="BMU54"/>
      <c r="BMV54"/>
      <c r="BMW54"/>
      <c r="BMX54"/>
      <c r="BMY54"/>
      <c r="BMZ54"/>
      <c r="BNA54"/>
      <c r="BNB54"/>
      <c r="BNC54"/>
      <c r="BND54"/>
      <c r="BNE54"/>
      <c r="BNF54"/>
      <c r="BNG54"/>
      <c r="BNH54"/>
      <c r="BNI54"/>
      <c r="BNJ54"/>
      <c r="BNK54"/>
      <c r="BNL54"/>
      <c r="BNM54"/>
      <c r="BNN54"/>
      <c r="BNO54"/>
      <c r="BNP54"/>
      <c r="BNQ54"/>
      <c r="BNR54"/>
      <c r="BNS54"/>
      <c r="BNT54"/>
      <c r="BNU54"/>
      <c r="BNV54"/>
      <c r="BNW54"/>
      <c r="BNX54"/>
      <c r="BNY54"/>
      <c r="BNZ54"/>
      <c r="BOA54"/>
      <c r="BOB54"/>
      <c r="BOC54"/>
      <c r="BOD54"/>
      <c r="BOE54"/>
      <c r="BOF54"/>
      <c r="BOG54"/>
      <c r="BOH54"/>
      <c r="BOI54"/>
      <c r="BOJ54"/>
      <c r="BOK54"/>
      <c r="BOL54"/>
      <c r="BOM54"/>
      <c r="BON54"/>
      <c r="BOO54"/>
      <c r="BOP54"/>
      <c r="BOQ54"/>
      <c r="BOR54"/>
      <c r="BOS54"/>
      <c r="BOT54"/>
      <c r="BOU54"/>
      <c r="BOV54"/>
      <c r="BOW54"/>
      <c r="BOX54"/>
      <c r="BOY54"/>
      <c r="BOZ54"/>
      <c r="BPA54"/>
      <c r="BPB54"/>
      <c r="BPC54"/>
      <c r="BPD54"/>
      <c r="BPE54"/>
      <c r="BPF54"/>
      <c r="BPG54"/>
      <c r="BPH54"/>
      <c r="BPI54"/>
      <c r="BPJ54"/>
      <c r="BPK54"/>
      <c r="BPL54"/>
      <c r="BPM54"/>
      <c r="BPN54"/>
      <c r="BPO54"/>
      <c r="BPP54"/>
      <c r="BPQ54"/>
      <c r="BPR54"/>
      <c r="BPS54"/>
      <c r="BPT54"/>
      <c r="BPU54"/>
      <c r="BPV54"/>
      <c r="BPW54"/>
      <c r="BPX54"/>
      <c r="BPY54"/>
      <c r="BPZ54"/>
      <c r="BQA54"/>
      <c r="BQB54"/>
      <c r="BQC54"/>
      <c r="BQD54"/>
      <c r="BQE54"/>
      <c r="BQF54"/>
      <c r="BQG54"/>
      <c r="BQH54"/>
      <c r="BQI54"/>
      <c r="BQJ54"/>
      <c r="BQK54"/>
      <c r="BQL54"/>
      <c r="BQM54"/>
      <c r="BQN54"/>
      <c r="BQO54"/>
      <c r="BQP54"/>
      <c r="BQQ54"/>
      <c r="BQR54"/>
      <c r="BQS54"/>
      <c r="BQT54"/>
      <c r="BQU54"/>
      <c r="BQV54"/>
      <c r="BQW54"/>
      <c r="BQX54"/>
      <c r="BQY54"/>
      <c r="BQZ54"/>
      <c r="BRA54"/>
      <c r="BRB54"/>
      <c r="BRC54"/>
      <c r="BRD54"/>
      <c r="BRE54"/>
      <c r="BRF54"/>
      <c r="BRG54"/>
      <c r="BRH54"/>
      <c r="BRI54"/>
      <c r="BRJ54"/>
      <c r="BRK54"/>
      <c r="BRL54"/>
      <c r="BRM54"/>
      <c r="BRN54"/>
      <c r="BRO54"/>
      <c r="BRP54"/>
      <c r="BRQ54"/>
      <c r="BRR54"/>
      <c r="BRS54"/>
      <c r="BRT54"/>
      <c r="BRU54"/>
      <c r="BRV54"/>
      <c r="BRW54"/>
      <c r="BRX54"/>
      <c r="BRY54"/>
      <c r="BRZ54"/>
      <c r="BSA54"/>
      <c r="BSB54"/>
      <c r="BSC54"/>
      <c r="BSD54"/>
      <c r="BSE54"/>
      <c r="BSF54"/>
      <c r="BSG54"/>
      <c r="BSH54"/>
      <c r="BSI54"/>
      <c r="BSJ54"/>
      <c r="BSK54"/>
      <c r="BSL54"/>
      <c r="BSM54"/>
      <c r="BSN54"/>
      <c r="BSO54"/>
      <c r="BSP54"/>
      <c r="BSQ54"/>
      <c r="BSR54"/>
      <c r="BSS54"/>
      <c r="BST54"/>
      <c r="BSU54"/>
      <c r="BSV54"/>
      <c r="BSW54"/>
      <c r="BSX54"/>
      <c r="BSY54"/>
      <c r="BSZ54"/>
      <c r="BTA54"/>
      <c r="BTB54"/>
      <c r="BTC54"/>
      <c r="BTD54"/>
      <c r="BTE54"/>
      <c r="BTF54"/>
      <c r="BTG54"/>
      <c r="BTH54"/>
      <c r="BTI54"/>
      <c r="BTJ54"/>
      <c r="BTK54"/>
      <c r="BTL54"/>
      <c r="BTM54"/>
      <c r="BTN54"/>
      <c r="BTO54"/>
      <c r="BTP54"/>
      <c r="BTQ54"/>
      <c r="BTR54"/>
      <c r="BTS54"/>
      <c r="BTT54"/>
      <c r="BTU54"/>
      <c r="BTV54"/>
      <c r="BTW54"/>
      <c r="BTX54"/>
      <c r="BTY54"/>
      <c r="BTZ54"/>
      <c r="BUA54"/>
      <c r="BUB54"/>
      <c r="BUC54"/>
      <c r="BUD54"/>
      <c r="BUE54"/>
      <c r="BUF54"/>
      <c r="BUG54"/>
      <c r="BUH54"/>
      <c r="BUI54"/>
      <c r="BUJ54"/>
      <c r="BUK54"/>
      <c r="BUL54"/>
      <c r="BUM54"/>
      <c r="BUN54"/>
      <c r="BUO54"/>
      <c r="BUP54"/>
      <c r="BUQ54"/>
      <c r="BUR54"/>
      <c r="BUS54"/>
      <c r="BUT54"/>
      <c r="BUU54"/>
      <c r="BUV54"/>
      <c r="BUW54"/>
      <c r="BUX54"/>
      <c r="BUY54"/>
      <c r="BUZ54"/>
      <c r="BVA54"/>
      <c r="BVB54"/>
      <c r="BVC54"/>
      <c r="BVD54"/>
      <c r="BVE54"/>
      <c r="BVF54"/>
      <c r="BVG54"/>
      <c r="BVH54"/>
      <c r="BVI54"/>
      <c r="BVJ54"/>
      <c r="BVK54"/>
      <c r="BVL54"/>
      <c r="BVM54"/>
      <c r="BVN54"/>
      <c r="BVO54"/>
      <c r="BVP54"/>
      <c r="BVQ54"/>
      <c r="BVR54"/>
      <c r="BVS54"/>
      <c r="BVT54"/>
      <c r="BVU54"/>
      <c r="BVV54"/>
      <c r="BVW54"/>
      <c r="BVX54"/>
      <c r="BVY54"/>
      <c r="BVZ54"/>
      <c r="BWA54"/>
      <c r="BWB54"/>
      <c r="BWC54"/>
      <c r="BWD54"/>
      <c r="BWE54"/>
      <c r="BWF54"/>
      <c r="BWG54"/>
      <c r="BWH54"/>
      <c r="BWI54"/>
      <c r="BWJ54"/>
      <c r="BWK54"/>
      <c r="BWL54"/>
      <c r="BWM54"/>
      <c r="BWN54"/>
      <c r="BWO54"/>
      <c r="BWP54"/>
      <c r="BWQ54"/>
      <c r="BWR54"/>
      <c r="BWS54"/>
      <c r="BWT54"/>
      <c r="BWU54"/>
      <c r="BWV54"/>
      <c r="BWW54"/>
      <c r="BWX54"/>
      <c r="BWY54"/>
      <c r="BWZ54"/>
      <c r="BXA54"/>
      <c r="BXB54"/>
      <c r="BXC54"/>
      <c r="BXD54"/>
      <c r="BXE54"/>
      <c r="BXF54"/>
      <c r="BXG54"/>
      <c r="BXH54"/>
      <c r="BXI54"/>
      <c r="BXJ54"/>
      <c r="BXK54"/>
      <c r="BXL54"/>
      <c r="BXM54"/>
      <c r="BXN54"/>
      <c r="BXO54"/>
      <c r="BXP54"/>
      <c r="BXQ54"/>
      <c r="BXR54"/>
      <c r="BXS54"/>
      <c r="BXT54"/>
      <c r="BXU54"/>
      <c r="BXV54"/>
      <c r="BXW54"/>
      <c r="BXX54"/>
      <c r="BXY54"/>
      <c r="BXZ54"/>
      <c r="BYA54"/>
      <c r="BYB54"/>
      <c r="BYC54"/>
      <c r="BYD54"/>
      <c r="BYE54"/>
      <c r="BYF54"/>
      <c r="BYG54"/>
    </row>
    <row r="55" spans="1:2009" s="89" customFormat="1" ht="24.95" hidden="1" customHeight="1" x14ac:dyDescent="0.25">
      <c r="A55" s="291"/>
      <c r="B55" s="294" t="s">
        <v>210</v>
      </c>
      <c r="C55" s="372"/>
      <c r="D55" s="372"/>
      <c r="E55" s="372"/>
      <c r="F55" s="372"/>
      <c r="G55" s="531">
        <f>SUM(C55:F55)</f>
        <v>0</v>
      </c>
      <c r="H55"/>
      <c r="I55" s="21"/>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c r="AMK55"/>
      <c r="AML55"/>
      <c r="AMM55"/>
      <c r="AMN55"/>
      <c r="AMO55"/>
      <c r="AMP55"/>
      <c r="AMQ55"/>
      <c r="AMR55"/>
      <c r="AMS55"/>
      <c r="AMT55"/>
      <c r="AMU55"/>
      <c r="AMV55"/>
      <c r="AMW55"/>
      <c r="AMX55"/>
      <c r="AMY55"/>
      <c r="AMZ55"/>
      <c r="ANA55"/>
      <c r="ANB55"/>
      <c r="ANC55"/>
      <c r="AND55"/>
      <c r="ANE55"/>
      <c r="ANF55"/>
      <c r="ANG55"/>
      <c r="ANH55"/>
      <c r="ANI55"/>
      <c r="ANJ55"/>
      <c r="ANK55"/>
      <c r="ANL55"/>
      <c r="ANM55"/>
      <c r="ANN55"/>
      <c r="ANO55"/>
      <c r="ANP55"/>
      <c r="ANQ55"/>
      <c r="ANR55"/>
      <c r="ANS55"/>
      <c r="ANT55"/>
      <c r="ANU55"/>
      <c r="ANV55"/>
      <c r="ANW55"/>
      <c r="ANX55"/>
      <c r="ANY55"/>
      <c r="ANZ55"/>
      <c r="AOA55"/>
      <c r="AOB55"/>
      <c r="AOC55"/>
      <c r="AOD55"/>
      <c r="AOE55"/>
      <c r="AOF55"/>
      <c r="AOG55"/>
      <c r="AOH55"/>
      <c r="AOI55"/>
      <c r="AOJ55"/>
      <c r="AOK55"/>
      <c r="AOL55"/>
      <c r="AOM55"/>
      <c r="AON55"/>
      <c r="AOO55"/>
      <c r="AOP55"/>
      <c r="AOQ55"/>
      <c r="AOR55"/>
      <c r="AOS55"/>
      <c r="AOT55"/>
      <c r="AOU55"/>
      <c r="AOV55"/>
      <c r="AOW55"/>
      <c r="AOX55"/>
      <c r="AOY55"/>
      <c r="AOZ55"/>
      <c r="APA55"/>
      <c r="APB55"/>
      <c r="APC55"/>
      <c r="APD55"/>
      <c r="APE55"/>
      <c r="APF55"/>
      <c r="APG55"/>
      <c r="APH55"/>
      <c r="API55"/>
      <c r="APJ55"/>
      <c r="APK55"/>
      <c r="APL55"/>
      <c r="APM55"/>
      <c r="APN55"/>
      <c r="APO55"/>
      <c r="APP55"/>
      <c r="APQ55"/>
      <c r="APR55"/>
      <c r="APS55"/>
      <c r="APT55"/>
      <c r="APU55"/>
      <c r="APV55"/>
      <c r="APW55"/>
      <c r="APX55"/>
      <c r="APY55"/>
      <c r="APZ55"/>
      <c r="AQA55"/>
      <c r="AQB55"/>
      <c r="AQC55"/>
      <c r="AQD55"/>
      <c r="AQE55"/>
      <c r="AQF55"/>
      <c r="AQG55"/>
      <c r="AQH55"/>
      <c r="AQI55"/>
      <c r="AQJ55"/>
      <c r="AQK55"/>
      <c r="AQL55"/>
      <c r="AQM55"/>
      <c r="AQN55"/>
      <c r="AQO55"/>
      <c r="AQP55"/>
      <c r="AQQ55"/>
      <c r="AQR55"/>
      <c r="AQS55"/>
      <c r="AQT55"/>
      <c r="AQU55"/>
      <c r="AQV55"/>
      <c r="AQW55"/>
      <c r="AQX55"/>
      <c r="AQY55"/>
      <c r="AQZ55"/>
      <c r="ARA55"/>
      <c r="ARB55"/>
      <c r="ARC55"/>
      <c r="ARD55"/>
      <c r="ARE55"/>
      <c r="ARF55"/>
      <c r="ARG55"/>
      <c r="ARH55"/>
      <c r="ARI55"/>
      <c r="ARJ55"/>
      <c r="ARK55"/>
      <c r="ARL55"/>
      <c r="ARM55"/>
      <c r="ARN55"/>
      <c r="ARO55"/>
      <c r="ARP55"/>
      <c r="ARQ55"/>
      <c r="ARR55"/>
      <c r="ARS55"/>
      <c r="ART55"/>
      <c r="ARU55"/>
      <c r="ARV55"/>
      <c r="ARW55"/>
      <c r="ARX55"/>
      <c r="ARY55"/>
      <c r="ARZ55"/>
      <c r="ASA55"/>
      <c r="ASB55"/>
      <c r="ASC55"/>
      <c r="ASD55"/>
      <c r="ASE55"/>
      <c r="ASF55"/>
      <c r="ASG55"/>
      <c r="ASH55"/>
      <c r="ASI55"/>
      <c r="ASJ55"/>
      <c r="ASK55"/>
      <c r="ASL55"/>
      <c r="ASM55"/>
      <c r="ASN55"/>
      <c r="ASO55"/>
      <c r="ASP55"/>
      <c r="ASQ55"/>
      <c r="ASR55"/>
      <c r="ASS55"/>
      <c r="AST55"/>
      <c r="ASU55"/>
      <c r="ASV55"/>
      <c r="ASW55"/>
      <c r="ASX55"/>
      <c r="ASY55"/>
      <c r="ASZ55"/>
      <c r="ATA55"/>
      <c r="ATB55"/>
      <c r="ATC55"/>
      <c r="ATD55"/>
      <c r="ATE55"/>
      <c r="ATF55"/>
      <c r="ATG55"/>
      <c r="ATH55"/>
      <c r="ATI55"/>
      <c r="ATJ55"/>
      <c r="ATK55"/>
      <c r="ATL55"/>
      <c r="ATM55"/>
      <c r="ATN55"/>
      <c r="ATO55"/>
      <c r="ATP55"/>
      <c r="ATQ55"/>
      <c r="ATR55"/>
      <c r="ATS55"/>
      <c r="ATT55"/>
      <c r="ATU55"/>
      <c r="ATV55"/>
      <c r="ATW55"/>
      <c r="ATX55"/>
      <c r="ATY55"/>
      <c r="ATZ55"/>
      <c r="AUA55"/>
      <c r="AUB55"/>
      <c r="AUC55"/>
      <c r="AUD55"/>
      <c r="AUE55"/>
      <c r="AUF55"/>
      <c r="AUG55"/>
      <c r="AUH55"/>
      <c r="AUI55"/>
      <c r="AUJ55"/>
      <c r="AUK55"/>
      <c r="AUL55"/>
      <c r="AUM55"/>
      <c r="AUN55"/>
      <c r="AUO55"/>
      <c r="AUP55"/>
      <c r="AUQ55"/>
      <c r="AUR55"/>
      <c r="AUS55"/>
      <c r="AUT55"/>
      <c r="AUU55"/>
      <c r="AUV55"/>
      <c r="AUW55"/>
      <c r="AUX55"/>
      <c r="AUY55"/>
      <c r="AUZ55"/>
      <c r="AVA55"/>
      <c r="AVB55"/>
      <c r="AVC55"/>
      <c r="AVD55"/>
      <c r="AVE55"/>
      <c r="AVF55"/>
      <c r="AVG55"/>
      <c r="AVH55"/>
      <c r="AVI55"/>
      <c r="AVJ55"/>
      <c r="AVK55"/>
      <c r="AVL55"/>
      <c r="AVM55"/>
      <c r="AVN55"/>
      <c r="AVO55"/>
      <c r="AVP55"/>
      <c r="AVQ55"/>
      <c r="AVR55"/>
      <c r="AVS55"/>
      <c r="AVT55"/>
      <c r="AVU55"/>
      <c r="AVV55"/>
      <c r="AVW55"/>
      <c r="AVX55"/>
      <c r="AVY55"/>
      <c r="AVZ55"/>
      <c r="AWA55"/>
      <c r="AWB55"/>
      <c r="AWC55"/>
      <c r="AWD55"/>
      <c r="AWE55"/>
      <c r="AWF55"/>
      <c r="AWG55"/>
      <c r="AWH55"/>
      <c r="AWI55"/>
      <c r="AWJ55"/>
      <c r="AWK55"/>
      <c r="AWL55"/>
      <c r="AWM55"/>
      <c r="AWN55"/>
      <c r="AWO55"/>
      <c r="AWP55"/>
      <c r="AWQ55"/>
      <c r="AWR55"/>
      <c r="AWS55"/>
      <c r="AWT55"/>
      <c r="AWU55"/>
      <c r="AWV55"/>
      <c r="AWW55"/>
      <c r="AWX55"/>
      <c r="AWY55"/>
      <c r="AWZ55"/>
      <c r="AXA55"/>
      <c r="AXB55"/>
      <c r="AXC55"/>
      <c r="AXD55"/>
      <c r="AXE55"/>
      <c r="AXF55"/>
      <c r="AXG55"/>
      <c r="AXH55"/>
      <c r="AXI55"/>
      <c r="AXJ55"/>
      <c r="AXK55"/>
      <c r="AXL55"/>
      <c r="AXM55"/>
      <c r="AXN55"/>
      <c r="AXO55"/>
      <c r="AXP55"/>
      <c r="AXQ55"/>
      <c r="AXR55"/>
      <c r="AXS55"/>
      <c r="AXT55"/>
      <c r="AXU55"/>
      <c r="AXV55"/>
      <c r="AXW55"/>
      <c r="AXX55"/>
      <c r="AXY55"/>
      <c r="AXZ55"/>
      <c r="AYA55"/>
      <c r="AYB55"/>
      <c r="AYC55"/>
      <c r="AYD55"/>
      <c r="AYE55"/>
      <c r="AYF55"/>
      <c r="AYG55"/>
      <c r="AYH55"/>
      <c r="AYI55"/>
      <c r="AYJ55"/>
      <c r="AYK55"/>
      <c r="AYL55"/>
      <c r="AYM55"/>
      <c r="AYN55"/>
      <c r="AYO55"/>
      <c r="AYP55"/>
      <c r="AYQ55"/>
      <c r="AYR55"/>
      <c r="AYS55"/>
      <c r="AYT55"/>
      <c r="AYU55"/>
      <c r="AYV55"/>
      <c r="AYW55"/>
      <c r="AYX55"/>
      <c r="AYY55"/>
      <c r="AYZ55"/>
      <c r="AZA55"/>
      <c r="AZB55"/>
      <c r="AZC55"/>
      <c r="AZD55"/>
      <c r="AZE55"/>
      <c r="AZF55"/>
      <c r="AZG55"/>
      <c r="AZH55"/>
      <c r="AZI55"/>
      <c r="AZJ55"/>
      <c r="AZK55"/>
      <c r="AZL55"/>
      <c r="AZM55"/>
      <c r="AZN55"/>
      <c r="AZO55"/>
      <c r="AZP55"/>
      <c r="AZQ55"/>
      <c r="AZR55"/>
      <c r="AZS55"/>
      <c r="AZT55"/>
      <c r="AZU55"/>
      <c r="AZV55"/>
      <c r="AZW55"/>
      <c r="AZX55"/>
      <c r="AZY55"/>
      <c r="AZZ55"/>
      <c r="BAA55"/>
      <c r="BAB55"/>
      <c r="BAC55"/>
      <c r="BAD55"/>
      <c r="BAE55"/>
      <c r="BAF55"/>
      <c r="BAG55"/>
      <c r="BAH55"/>
      <c r="BAI55"/>
      <c r="BAJ55"/>
      <c r="BAK55"/>
      <c r="BAL55"/>
      <c r="BAM55"/>
      <c r="BAN55"/>
      <c r="BAO55"/>
      <c r="BAP55"/>
      <c r="BAQ55"/>
      <c r="BAR55"/>
      <c r="BAS55"/>
      <c r="BAT55"/>
      <c r="BAU55"/>
      <c r="BAV55"/>
      <c r="BAW55"/>
      <c r="BAX55"/>
      <c r="BAY55"/>
      <c r="BAZ55"/>
      <c r="BBA55"/>
      <c r="BBB55"/>
      <c r="BBC55"/>
      <c r="BBD55"/>
      <c r="BBE55"/>
      <c r="BBF55"/>
      <c r="BBG55"/>
      <c r="BBH55"/>
      <c r="BBI55"/>
      <c r="BBJ55"/>
      <c r="BBK55"/>
      <c r="BBL55"/>
      <c r="BBM55"/>
      <c r="BBN55"/>
      <c r="BBO55"/>
      <c r="BBP55"/>
      <c r="BBQ55"/>
      <c r="BBR55"/>
      <c r="BBS55"/>
      <c r="BBT55"/>
      <c r="BBU55"/>
      <c r="BBV55"/>
      <c r="BBW55"/>
      <c r="BBX55"/>
      <c r="BBY55"/>
      <c r="BBZ55"/>
      <c r="BCA55"/>
      <c r="BCB55"/>
      <c r="BCC55"/>
      <c r="BCD55"/>
      <c r="BCE55"/>
      <c r="BCF55"/>
      <c r="BCG55"/>
      <c r="BCH55"/>
      <c r="BCI55"/>
      <c r="BCJ55"/>
      <c r="BCK55"/>
      <c r="BCL55"/>
      <c r="BCM55"/>
      <c r="BCN55"/>
      <c r="BCO55"/>
      <c r="BCP55"/>
      <c r="BCQ55"/>
      <c r="BCR55"/>
      <c r="BCS55"/>
      <c r="BCT55"/>
      <c r="BCU55"/>
      <c r="BCV55"/>
      <c r="BCW55"/>
      <c r="BCX55"/>
      <c r="BCY55"/>
      <c r="BCZ55"/>
      <c r="BDA55"/>
      <c r="BDB55"/>
      <c r="BDC55"/>
      <c r="BDD55"/>
      <c r="BDE55"/>
      <c r="BDF55"/>
      <c r="BDG55"/>
      <c r="BDH55"/>
      <c r="BDI55"/>
      <c r="BDJ55"/>
      <c r="BDK55"/>
      <c r="BDL55"/>
      <c r="BDM55"/>
      <c r="BDN55"/>
      <c r="BDO55"/>
      <c r="BDP55"/>
      <c r="BDQ55"/>
      <c r="BDR55"/>
      <c r="BDS55"/>
      <c r="BDT55"/>
      <c r="BDU55"/>
      <c r="BDV55"/>
      <c r="BDW55"/>
      <c r="BDX55"/>
      <c r="BDY55"/>
      <c r="BDZ55"/>
      <c r="BEA55"/>
      <c r="BEB55"/>
      <c r="BEC55"/>
      <c r="BED55"/>
      <c r="BEE55"/>
      <c r="BEF55"/>
      <c r="BEG55"/>
      <c r="BEH55"/>
      <c r="BEI55"/>
      <c r="BEJ55"/>
      <c r="BEK55"/>
      <c r="BEL55"/>
      <c r="BEM55"/>
      <c r="BEN55"/>
      <c r="BEO55"/>
      <c r="BEP55"/>
      <c r="BEQ55"/>
      <c r="BER55"/>
      <c r="BES55"/>
      <c r="BET55"/>
      <c r="BEU55"/>
      <c r="BEV55"/>
      <c r="BEW55"/>
      <c r="BEX55"/>
      <c r="BEY55"/>
      <c r="BEZ55"/>
      <c r="BFA55"/>
      <c r="BFB55"/>
      <c r="BFC55"/>
      <c r="BFD55"/>
      <c r="BFE55"/>
      <c r="BFF55"/>
      <c r="BFG55"/>
      <c r="BFH55"/>
      <c r="BFI55"/>
      <c r="BFJ55"/>
      <c r="BFK55"/>
      <c r="BFL55"/>
      <c r="BFM55"/>
      <c r="BFN55"/>
      <c r="BFO55"/>
      <c r="BFP55"/>
      <c r="BFQ55"/>
      <c r="BFR55"/>
      <c r="BFS55"/>
      <c r="BFT55"/>
      <c r="BFU55"/>
      <c r="BFV55"/>
      <c r="BFW55"/>
      <c r="BFX55"/>
      <c r="BFY55"/>
      <c r="BFZ55"/>
      <c r="BGA55"/>
      <c r="BGB55"/>
      <c r="BGC55"/>
      <c r="BGD55"/>
      <c r="BGE55"/>
      <c r="BGF55"/>
      <c r="BGG55"/>
      <c r="BGH55"/>
      <c r="BGI55"/>
      <c r="BGJ55"/>
      <c r="BGK55"/>
      <c r="BGL55"/>
      <c r="BGM55"/>
      <c r="BGN55"/>
      <c r="BGO55"/>
      <c r="BGP55"/>
      <c r="BGQ55"/>
      <c r="BGR55"/>
      <c r="BGS55"/>
      <c r="BGT55"/>
      <c r="BGU55"/>
      <c r="BGV55"/>
      <c r="BGW55"/>
      <c r="BGX55"/>
      <c r="BGY55"/>
      <c r="BGZ55"/>
      <c r="BHA55"/>
      <c r="BHB55"/>
      <c r="BHC55"/>
      <c r="BHD55"/>
      <c r="BHE55"/>
      <c r="BHF55"/>
      <c r="BHG55"/>
      <c r="BHH55"/>
      <c r="BHI55"/>
      <c r="BHJ55"/>
      <c r="BHK55"/>
      <c r="BHL55"/>
      <c r="BHM55"/>
      <c r="BHN55"/>
      <c r="BHO55"/>
      <c r="BHP55"/>
      <c r="BHQ55"/>
      <c r="BHR55"/>
      <c r="BHS55"/>
      <c r="BHT55"/>
      <c r="BHU55"/>
      <c r="BHV55"/>
      <c r="BHW55"/>
      <c r="BHX55"/>
      <c r="BHY55"/>
      <c r="BHZ55"/>
      <c r="BIA55"/>
      <c r="BIB55"/>
      <c r="BIC55"/>
      <c r="BID55"/>
      <c r="BIE55"/>
      <c r="BIF55"/>
      <c r="BIG55"/>
      <c r="BIH55"/>
      <c r="BII55"/>
      <c r="BIJ55"/>
      <c r="BIK55"/>
      <c r="BIL55"/>
      <c r="BIM55"/>
      <c r="BIN55"/>
      <c r="BIO55"/>
      <c r="BIP55"/>
      <c r="BIQ55"/>
      <c r="BIR55"/>
      <c r="BIS55"/>
      <c r="BIT55"/>
      <c r="BIU55"/>
      <c r="BIV55"/>
      <c r="BIW55"/>
      <c r="BIX55"/>
      <c r="BIY55"/>
      <c r="BIZ55"/>
      <c r="BJA55"/>
      <c r="BJB55"/>
      <c r="BJC55"/>
      <c r="BJD55"/>
      <c r="BJE55"/>
      <c r="BJF55"/>
      <c r="BJG55"/>
      <c r="BJH55"/>
      <c r="BJI55"/>
      <c r="BJJ55"/>
      <c r="BJK55"/>
      <c r="BJL55"/>
      <c r="BJM55"/>
      <c r="BJN55"/>
      <c r="BJO55"/>
      <c r="BJP55"/>
      <c r="BJQ55"/>
      <c r="BJR55"/>
      <c r="BJS55"/>
      <c r="BJT55"/>
      <c r="BJU55"/>
      <c r="BJV55"/>
      <c r="BJW55"/>
      <c r="BJX55"/>
      <c r="BJY55"/>
      <c r="BJZ55"/>
      <c r="BKA55"/>
      <c r="BKB55"/>
      <c r="BKC55"/>
      <c r="BKD55"/>
      <c r="BKE55"/>
      <c r="BKF55"/>
      <c r="BKG55"/>
      <c r="BKH55"/>
      <c r="BKI55"/>
      <c r="BKJ55"/>
      <c r="BKK55"/>
      <c r="BKL55"/>
      <c r="BKM55"/>
      <c r="BKN55"/>
      <c r="BKO55"/>
      <c r="BKP55"/>
      <c r="BKQ55"/>
      <c r="BKR55"/>
      <c r="BKS55"/>
      <c r="BKT55"/>
      <c r="BKU55"/>
      <c r="BKV55"/>
      <c r="BKW55"/>
      <c r="BKX55"/>
      <c r="BKY55"/>
      <c r="BKZ55"/>
      <c r="BLA55"/>
      <c r="BLB55"/>
      <c r="BLC55"/>
      <c r="BLD55"/>
      <c r="BLE55"/>
      <c r="BLF55"/>
      <c r="BLG55"/>
      <c r="BLH55"/>
      <c r="BLI55"/>
      <c r="BLJ55"/>
      <c r="BLK55"/>
      <c r="BLL55"/>
      <c r="BLM55"/>
      <c r="BLN55"/>
      <c r="BLO55"/>
      <c r="BLP55"/>
      <c r="BLQ55"/>
      <c r="BLR55"/>
      <c r="BLS55"/>
      <c r="BLT55"/>
      <c r="BLU55"/>
      <c r="BLV55"/>
      <c r="BLW55"/>
      <c r="BLX55"/>
      <c r="BLY55"/>
      <c r="BLZ55"/>
      <c r="BMA55"/>
      <c r="BMB55"/>
      <c r="BMC55"/>
      <c r="BMD55"/>
      <c r="BME55"/>
      <c r="BMF55"/>
      <c r="BMG55"/>
      <c r="BMH55"/>
      <c r="BMI55"/>
      <c r="BMJ55"/>
      <c r="BMK55"/>
      <c r="BML55"/>
      <c r="BMM55"/>
      <c r="BMN55"/>
      <c r="BMO55"/>
      <c r="BMP55"/>
      <c r="BMQ55"/>
      <c r="BMR55"/>
      <c r="BMS55"/>
      <c r="BMT55"/>
      <c r="BMU55"/>
      <c r="BMV55"/>
      <c r="BMW55"/>
      <c r="BMX55"/>
      <c r="BMY55"/>
      <c r="BMZ55"/>
      <c r="BNA55"/>
      <c r="BNB55"/>
      <c r="BNC55"/>
      <c r="BND55"/>
      <c r="BNE55"/>
      <c r="BNF55"/>
      <c r="BNG55"/>
      <c r="BNH55"/>
      <c r="BNI55"/>
      <c r="BNJ55"/>
      <c r="BNK55"/>
      <c r="BNL55"/>
      <c r="BNM55"/>
      <c r="BNN55"/>
      <c r="BNO55"/>
      <c r="BNP55"/>
      <c r="BNQ55"/>
      <c r="BNR55"/>
      <c r="BNS55"/>
      <c r="BNT55"/>
      <c r="BNU55"/>
      <c r="BNV55"/>
      <c r="BNW55"/>
      <c r="BNX55"/>
      <c r="BNY55"/>
      <c r="BNZ55"/>
      <c r="BOA55"/>
      <c r="BOB55"/>
      <c r="BOC55"/>
      <c r="BOD55"/>
      <c r="BOE55"/>
      <c r="BOF55"/>
      <c r="BOG55"/>
      <c r="BOH55"/>
      <c r="BOI55"/>
      <c r="BOJ55"/>
      <c r="BOK55"/>
      <c r="BOL55"/>
      <c r="BOM55"/>
      <c r="BON55"/>
      <c r="BOO55"/>
      <c r="BOP55"/>
      <c r="BOQ55"/>
      <c r="BOR55"/>
      <c r="BOS55"/>
      <c r="BOT55"/>
      <c r="BOU55"/>
      <c r="BOV55"/>
      <c r="BOW55"/>
      <c r="BOX55"/>
      <c r="BOY55"/>
      <c r="BOZ55"/>
      <c r="BPA55"/>
      <c r="BPB55"/>
      <c r="BPC55"/>
      <c r="BPD55"/>
      <c r="BPE55"/>
      <c r="BPF55"/>
      <c r="BPG55"/>
      <c r="BPH55"/>
      <c r="BPI55"/>
      <c r="BPJ55"/>
      <c r="BPK55"/>
      <c r="BPL55"/>
      <c r="BPM55"/>
      <c r="BPN55"/>
      <c r="BPO55"/>
      <c r="BPP55"/>
      <c r="BPQ55"/>
      <c r="BPR55"/>
      <c r="BPS55"/>
      <c r="BPT55"/>
      <c r="BPU55"/>
      <c r="BPV55"/>
      <c r="BPW55"/>
      <c r="BPX55"/>
      <c r="BPY55"/>
      <c r="BPZ55"/>
      <c r="BQA55"/>
      <c r="BQB55"/>
      <c r="BQC55"/>
      <c r="BQD55"/>
      <c r="BQE55"/>
      <c r="BQF55"/>
      <c r="BQG55"/>
      <c r="BQH55"/>
      <c r="BQI55"/>
      <c r="BQJ55"/>
      <c r="BQK55"/>
      <c r="BQL55"/>
      <c r="BQM55"/>
      <c r="BQN55"/>
      <c r="BQO55"/>
      <c r="BQP55"/>
      <c r="BQQ55"/>
      <c r="BQR55"/>
      <c r="BQS55"/>
      <c r="BQT55"/>
      <c r="BQU55"/>
      <c r="BQV55"/>
      <c r="BQW55"/>
      <c r="BQX55"/>
      <c r="BQY55"/>
      <c r="BQZ55"/>
      <c r="BRA55"/>
      <c r="BRB55"/>
      <c r="BRC55"/>
      <c r="BRD55"/>
      <c r="BRE55"/>
      <c r="BRF55"/>
      <c r="BRG55"/>
      <c r="BRH55"/>
      <c r="BRI55"/>
      <c r="BRJ55"/>
      <c r="BRK55"/>
      <c r="BRL55"/>
      <c r="BRM55"/>
      <c r="BRN55"/>
      <c r="BRO55"/>
      <c r="BRP55"/>
      <c r="BRQ55"/>
      <c r="BRR55"/>
      <c r="BRS55"/>
      <c r="BRT55"/>
      <c r="BRU55"/>
      <c r="BRV55"/>
      <c r="BRW55"/>
      <c r="BRX55"/>
      <c r="BRY55"/>
      <c r="BRZ55"/>
      <c r="BSA55"/>
      <c r="BSB55"/>
      <c r="BSC55"/>
      <c r="BSD55"/>
      <c r="BSE55"/>
      <c r="BSF55"/>
      <c r="BSG55"/>
      <c r="BSH55"/>
      <c r="BSI55"/>
      <c r="BSJ55"/>
      <c r="BSK55"/>
      <c r="BSL55"/>
      <c r="BSM55"/>
      <c r="BSN55"/>
      <c r="BSO55"/>
      <c r="BSP55"/>
      <c r="BSQ55"/>
      <c r="BSR55"/>
      <c r="BSS55"/>
      <c r="BST55"/>
      <c r="BSU55"/>
      <c r="BSV55"/>
      <c r="BSW55"/>
      <c r="BSX55"/>
      <c r="BSY55"/>
      <c r="BSZ55"/>
      <c r="BTA55"/>
      <c r="BTB55"/>
      <c r="BTC55"/>
      <c r="BTD55"/>
      <c r="BTE55"/>
      <c r="BTF55"/>
      <c r="BTG55"/>
      <c r="BTH55"/>
      <c r="BTI55"/>
      <c r="BTJ55"/>
      <c r="BTK55"/>
      <c r="BTL55"/>
      <c r="BTM55"/>
      <c r="BTN55"/>
      <c r="BTO55"/>
      <c r="BTP55"/>
      <c r="BTQ55"/>
      <c r="BTR55"/>
      <c r="BTS55"/>
      <c r="BTT55"/>
      <c r="BTU55"/>
      <c r="BTV55"/>
      <c r="BTW55"/>
      <c r="BTX55"/>
      <c r="BTY55"/>
      <c r="BTZ55"/>
      <c r="BUA55"/>
      <c r="BUB55"/>
      <c r="BUC55"/>
      <c r="BUD55"/>
      <c r="BUE55"/>
      <c r="BUF55"/>
      <c r="BUG55"/>
      <c r="BUH55"/>
      <c r="BUI55"/>
      <c r="BUJ55"/>
      <c r="BUK55"/>
      <c r="BUL55"/>
      <c r="BUM55"/>
      <c r="BUN55"/>
      <c r="BUO55"/>
      <c r="BUP55"/>
      <c r="BUQ55"/>
      <c r="BUR55"/>
      <c r="BUS55"/>
      <c r="BUT55"/>
      <c r="BUU55"/>
      <c r="BUV55"/>
      <c r="BUW55"/>
      <c r="BUX55"/>
      <c r="BUY55"/>
      <c r="BUZ55"/>
      <c r="BVA55"/>
      <c r="BVB55"/>
      <c r="BVC55"/>
      <c r="BVD55"/>
      <c r="BVE55"/>
      <c r="BVF55"/>
      <c r="BVG55"/>
      <c r="BVH55"/>
      <c r="BVI55"/>
      <c r="BVJ55"/>
      <c r="BVK55"/>
      <c r="BVL55"/>
      <c r="BVM55"/>
      <c r="BVN55"/>
      <c r="BVO55"/>
      <c r="BVP55"/>
      <c r="BVQ55"/>
      <c r="BVR55"/>
      <c r="BVS55"/>
      <c r="BVT55"/>
      <c r="BVU55"/>
      <c r="BVV55"/>
      <c r="BVW55"/>
      <c r="BVX55"/>
      <c r="BVY55"/>
      <c r="BVZ55"/>
      <c r="BWA55"/>
      <c r="BWB55"/>
      <c r="BWC55"/>
      <c r="BWD55"/>
      <c r="BWE55"/>
      <c r="BWF55"/>
      <c r="BWG55"/>
      <c r="BWH55"/>
      <c r="BWI55"/>
      <c r="BWJ55"/>
      <c r="BWK55"/>
      <c r="BWL55"/>
      <c r="BWM55"/>
      <c r="BWN55"/>
      <c r="BWO55"/>
      <c r="BWP55"/>
      <c r="BWQ55"/>
      <c r="BWR55"/>
      <c r="BWS55"/>
      <c r="BWT55"/>
      <c r="BWU55"/>
      <c r="BWV55"/>
      <c r="BWW55"/>
      <c r="BWX55"/>
      <c r="BWY55"/>
      <c r="BWZ55"/>
      <c r="BXA55"/>
      <c r="BXB55"/>
      <c r="BXC55"/>
      <c r="BXD55"/>
      <c r="BXE55"/>
      <c r="BXF55"/>
      <c r="BXG55"/>
      <c r="BXH55"/>
      <c r="BXI55"/>
      <c r="BXJ55"/>
      <c r="BXK55"/>
      <c r="BXL55"/>
      <c r="BXM55"/>
      <c r="BXN55"/>
      <c r="BXO55"/>
      <c r="BXP55"/>
      <c r="BXQ55"/>
      <c r="BXR55"/>
      <c r="BXS55"/>
      <c r="BXT55"/>
      <c r="BXU55"/>
      <c r="BXV55"/>
      <c r="BXW55"/>
      <c r="BXX55"/>
      <c r="BXY55"/>
      <c r="BXZ55"/>
      <c r="BYA55"/>
      <c r="BYB55"/>
      <c r="BYC55"/>
      <c r="BYD55"/>
      <c r="BYE55"/>
      <c r="BYF55"/>
      <c r="BYG55"/>
    </row>
    <row r="56" spans="1:2009" s="89" customFormat="1" ht="24.75" hidden="1" customHeight="1" thickBot="1" x14ac:dyDescent="0.3">
      <c r="A56" s="849" t="s">
        <v>175</v>
      </c>
      <c r="B56" s="850"/>
      <c r="C56" s="292">
        <f t="shared" ref="C56" si="2">SUM(C53:C55)</f>
        <v>0</v>
      </c>
      <c r="D56" s="292"/>
      <c r="E56" s="292"/>
      <c r="F56" s="292"/>
      <c r="G56" s="532">
        <f t="shared" ref="G56" si="3">SUM(G53:G55)</f>
        <v>0</v>
      </c>
      <c r="H56"/>
      <c r="I56" s="21"/>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c r="AMK56"/>
      <c r="AML56"/>
      <c r="AMM56"/>
      <c r="AMN56"/>
      <c r="AMO56"/>
      <c r="AMP56"/>
      <c r="AMQ56"/>
      <c r="AMR56"/>
      <c r="AMS56"/>
      <c r="AMT56"/>
      <c r="AMU56"/>
      <c r="AMV56"/>
      <c r="AMW56"/>
      <c r="AMX56"/>
      <c r="AMY56"/>
      <c r="AMZ56"/>
      <c r="ANA56"/>
      <c r="ANB56"/>
      <c r="ANC56"/>
      <c r="AND56"/>
      <c r="ANE56"/>
      <c r="ANF56"/>
      <c r="ANG56"/>
      <c r="ANH56"/>
      <c r="ANI56"/>
      <c r="ANJ56"/>
      <c r="ANK56"/>
      <c r="ANL56"/>
      <c r="ANM56"/>
      <c r="ANN56"/>
      <c r="ANO56"/>
      <c r="ANP56"/>
      <c r="ANQ56"/>
      <c r="ANR56"/>
      <c r="ANS56"/>
      <c r="ANT56"/>
      <c r="ANU56"/>
      <c r="ANV56"/>
      <c r="ANW56"/>
      <c r="ANX56"/>
      <c r="ANY56"/>
      <c r="ANZ56"/>
      <c r="AOA56"/>
      <c r="AOB56"/>
      <c r="AOC56"/>
      <c r="AOD56"/>
      <c r="AOE56"/>
      <c r="AOF56"/>
      <c r="AOG56"/>
      <c r="AOH56"/>
      <c r="AOI56"/>
      <c r="AOJ56"/>
      <c r="AOK56"/>
      <c r="AOL56"/>
      <c r="AOM56"/>
      <c r="AON56"/>
      <c r="AOO56"/>
      <c r="AOP56"/>
      <c r="AOQ56"/>
      <c r="AOR56"/>
      <c r="AOS56"/>
      <c r="AOT56"/>
      <c r="AOU56"/>
      <c r="AOV56"/>
      <c r="AOW56"/>
      <c r="AOX56"/>
      <c r="AOY56"/>
      <c r="AOZ56"/>
      <c r="APA56"/>
      <c r="APB56"/>
      <c r="APC56"/>
      <c r="APD56"/>
      <c r="APE56"/>
      <c r="APF56"/>
      <c r="APG56"/>
      <c r="APH56"/>
      <c r="API56"/>
      <c r="APJ56"/>
      <c r="APK56"/>
      <c r="APL56"/>
      <c r="APM56"/>
      <c r="APN56"/>
      <c r="APO56"/>
      <c r="APP56"/>
      <c r="APQ56"/>
      <c r="APR56"/>
      <c r="APS56"/>
      <c r="APT56"/>
      <c r="APU56"/>
      <c r="APV56"/>
      <c r="APW56"/>
      <c r="APX56"/>
      <c r="APY56"/>
      <c r="APZ56"/>
      <c r="AQA56"/>
      <c r="AQB56"/>
      <c r="AQC56"/>
      <c r="AQD56"/>
      <c r="AQE56"/>
      <c r="AQF56"/>
      <c r="AQG56"/>
      <c r="AQH56"/>
      <c r="AQI56"/>
      <c r="AQJ56"/>
      <c r="AQK56"/>
      <c r="AQL56"/>
      <c r="AQM56"/>
      <c r="AQN56"/>
      <c r="AQO56"/>
      <c r="AQP56"/>
      <c r="AQQ56"/>
      <c r="AQR56"/>
      <c r="AQS56"/>
      <c r="AQT56"/>
      <c r="AQU56"/>
      <c r="AQV56"/>
      <c r="AQW56"/>
      <c r="AQX56"/>
      <c r="AQY56"/>
      <c r="AQZ56"/>
      <c r="ARA56"/>
      <c r="ARB56"/>
      <c r="ARC56"/>
      <c r="ARD56"/>
      <c r="ARE56"/>
      <c r="ARF56"/>
      <c r="ARG56"/>
      <c r="ARH56"/>
      <c r="ARI56"/>
      <c r="ARJ56"/>
      <c r="ARK56"/>
      <c r="ARL56"/>
      <c r="ARM56"/>
      <c r="ARN56"/>
      <c r="ARO56"/>
      <c r="ARP56"/>
      <c r="ARQ56"/>
      <c r="ARR56"/>
      <c r="ARS56"/>
      <c r="ART56"/>
      <c r="ARU56"/>
      <c r="ARV56"/>
      <c r="ARW56"/>
      <c r="ARX56"/>
      <c r="ARY56"/>
      <c r="ARZ56"/>
      <c r="ASA56"/>
      <c r="ASB56"/>
      <c r="ASC56"/>
      <c r="ASD56"/>
      <c r="ASE56"/>
      <c r="ASF56"/>
      <c r="ASG56"/>
      <c r="ASH56"/>
      <c r="ASI56"/>
      <c r="ASJ56"/>
      <c r="ASK56"/>
      <c r="ASL56"/>
      <c r="ASM56"/>
      <c r="ASN56"/>
      <c r="ASO56"/>
      <c r="ASP56"/>
      <c r="ASQ56"/>
      <c r="ASR56"/>
      <c r="ASS56"/>
      <c r="AST56"/>
      <c r="ASU56"/>
      <c r="ASV56"/>
      <c r="ASW56"/>
      <c r="ASX56"/>
      <c r="ASY56"/>
      <c r="ASZ56"/>
      <c r="ATA56"/>
      <c r="ATB56"/>
      <c r="ATC56"/>
      <c r="ATD56"/>
      <c r="ATE56"/>
      <c r="ATF56"/>
      <c r="ATG56"/>
      <c r="ATH56"/>
      <c r="ATI56"/>
      <c r="ATJ56"/>
      <c r="ATK56"/>
      <c r="ATL56"/>
      <c r="ATM56"/>
      <c r="ATN56"/>
      <c r="ATO56"/>
      <c r="ATP56"/>
      <c r="ATQ56"/>
      <c r="ATR56"/>
      <c r="ATS56"/>
      <c r="ATT56"/>
      <c r="ATU56"/>
      <c r="ATV56"/>
      <c r="ATW56"/>
      <c r="ATX56"/>
      <c r="ATY56"/>
      <c r="ATZ56"/>
      <c r="AUA56"/>
      <c r="AUB56"/>
      <c r="AUC56"/>
      <c r="AUD56"/>
      <c r="AUE56"/>
      <c r="AUF56"/>
      <c r="AUG56"/>
      <c r="AUH56"/>
      <c r="AUI56"/>
      <c r="AUJ56"/>
      <c r="AUK56"/>
      <c r="AUL56"/>
      <c r="AUM56"/>
      <c r="AUN56"/>
      <c r="AUO56"/>
      <c r="AUP56"/>
      <c r="AUQ56"/>
      <c r="AUR56"/>
      <c r="AUS56"/>
      <c r="AUT56"/>
      <c r="AUU56"/>
      <c r="AUV56"/>
      <c r="AUW56"/>
      <c r="AUX56"/>
      <c r="AUY56"/>
      <c r="AUZ56"/>
      <c r="AVA56"/>
      <c r="AVB56"/>
      <c r="AVC56"/>
      <c r="AVD56"/>
      <c r="AVE56"/>
      <c r="AVF56"/>
      <c r="AVG56"/>
      <c r="AVH56"/>
      <c r="AVI56"/>
      <c r="AVJ56"/>
      <c r="AVK56"/>
      <c r="AVL56"/>
      <c r="AVM56"/>
      <c r="AVN56"/>
      <c r="AVO56"/>
      <c r="AVP56"/>
      <c r="AVQ56"/>
      <c r="AVR56"/>
      <c r="AVS56"/>
      <c r="AVT56"/>
      <c r="AVU56"/>
      <c r="AVV56"/>
      <c r="AVW56"/>
      <c r="AVX56"/>
      <c r="AVY56"/>
      <c r="AVZ56"/>
      <c r="AWA56"/>
      <c r="AWB56"/>
      <c r="AWC56"/>
      <c r="AWD56"/>
      <c r="AWE56"/>
      <c r="AWF56"/>
      <c r="AWG56"/>
      <c r="AWH56"/>
      <c r="AWI56"/>
      <c r="AWJ56"/>
      <c r="AWK56"/>
      <c r="AWL56"/>
      <c r="AWM56"/>
      <c r="AWN56"/>
      <c r="AWO56"/>
      <c r="AWP56"/>
      <c r="AWQ56"/>
      <c r="AWR56"/>
      <c r="AWS56"/>
      <c r="AWT56"/>
      <c r="AWU56"/>
      <c r="AWV56"/>
      <c r="AWW56"/>
      <c r="AWX56"/>
      <c r="AWY56"/>
      <c r="AWZ56"/>
      <c r="AXA56"/>
      <c r="AXB56"/>
      <c r="AXC56"/>
      <c r="AXD56"/>
      <c r="AXE56"/>
      <c r="AXF56"/>
      <c r="AXG56"/>
      <c r="AXH56"/>
      <c r="AXI56"/>
      <c r="AXJ56"/>
      <c r="AXK56"/>
      <c r="AXL56"/>
      <c r="AXM56"/>
      <c r="AXN56"/>
      <c r="AXO56"/>
      <c r="AXP56"/>
      <c r="AXQ56"/>
      <c r="AXR56"/>
      <c r="AXS56"/>
      <c r="AXT56"/>
      <c r="AXU56"/>
      <c r="AXV56"/>
      <c r="AXW56"/>
      <c r="AXX56"/>
      <c r="AXY56"/>
      <c r="AXZ56"/>
      <c r="AYA56"/>
      <c r="AYB56"/>
      <c r="AYC56"/>
      <c r="AYD56"/>
      <c r="AYE56"/>
      <c r="AYF56"/>
      <c r="AYG56"/>
      <c r="AYH56"/>
      <c r="AYI56"/>
      <c r="AYJ56"/>
      <c r="AYK56"/>
      <c r="AYL56"/>
      <c r="AYM56"/>
      <c r="AYN56"/>
      <c r="AYO56"/>
      <c r="AYP56"/>
      <c r="AYQ56"/>
      <c r="AYR56"/>
      <c r="AYS56"/>
      <c r="AYT56"/>
      <c r="AYU56"/>
      <c r="AYV56"/>
      <c r="AYW56"/>
      <c r="AYX56"/>
      <c r="AYY56"/>
      <c r="AYZ56"/>
      <c r="AZA56"/>
      <c r="AZB56"/>
      <c r="AZC56"/>
      <c r="AZD56"/>
      <c r="AZE56"/>
      <c r="AZF56"/>
      <c r="AZG56"/>
      <c r="AZH56"/>
      <c r="AZI56"/>
      <c r="AZJ56"/>
      <c r="AZK56"/>
      <c r="AZL56"/>
      <c r="AZM56"/>
      <c r="AZN56"/>
      <c r="AZO56"/>
      <c r="AZP56"/>
      <c r="AZQ56"/>
      <c r="AZR56"/>
      <c r="AZS56"/>
      <c r="AZT56"/>
      <c r="AZU56"/>
      <c r="AZV56"/>
      <c r="AZW56"/>
      <c r="AZX56"/>
      <c r="AZY56"/>
      <c r="AZZ56"/>
      <c r="BAA56"/>
      <c r="BAB56"/>
      <c r="BAC56"/>
      <c r="BAD56"/>
      <c r="BAE56"/>
      <c r="BAF56"/>
      <c r="BAG56"/>
      <c r="BAH56"/>
      <c r="BAI56"/>
      <c r="BAJ56"/>
      <c r="BAK56"/>
      <c r="BAL56"/>
      <c r="BAM56"/>
      <c r="BAN56"/>
      <c r="BAO56"/>
      <c r="BAP56"/>
      <c r="BAQ56"/>
      <c r="BAR56"/>
      <c r="BAS56"/>
      <c r="BAT56"/>
      <c r="BAU56"/>
      <c r="BAV56"/>
      <c r="BAW56"/>
      <c r="BAX56"/>
      <c r="BAY56"/>
      <c r="BAZ56"/>
      <c r="BBA56"/>
      <c r="BBB56"/>
      <c r="BBC56"/>
      <c r="BBD56"/>
      <c r="BBE56"/>
      <c r="BBF56"/>
      <c r="BBG56"/>
      <c r="BBH56"/>
      <c r="BBI56"/>
      <c r="BBJ56"/>
      <c r="BBK56"/>
      <c r="BBL56"/>
      <c r="BBM56"/>
      <c r="BBN56"/>
      <c r="BBO56"/>
      <c r="BBP56"/>
      <c r="BBQ56"/>
      <c r="BBR56"/>
      <c r="BBS56"/>
      <c r="BBT56"/>
      <c r="BBU56"/>
      <c r="BBV56"/>
      <c r="BBW56"/>
      <c r="BBX56"/>
      <c r="BBY56"/>
      <c r="BBZ56"/>
      <c r="BCA56"/>
      <c r="BCB56"/>
      <c r="BCC56"/>
      <c r="BCD56"/>
      <c r="BCE56"/>
      <c r="BCF56"/>
      <c r="BCG56"/>
      <c r="BCH56"/>
      <c r="BCI56"/>
      <c r="BCJ56"/>
      <c r="BCK56"/>
      <c r="BCL56"/>
      <c r="BCM56"/>
      <c r="BCN56"/>
      <c r="BCO56"/>
      <c r="BCP56"/>
      <c r="BCQ56"/>
      <c r="BCR56"/>
      <c r="BCS56"/>
      <c r="BCT56"/>
      <c r="BCU56"/>
      <c r="BCV56"/>
      <c r="BCW56"/>
      <c r="BCX56"/>
      <c r="BCY56"/>
      <c r="BCZ56"/>
      <c r="BDA56"/>
      <c r="BDB56"/>
      <c r="BDC56"/>
      <c r="BDD56"/>
      <c r="BDE56"/>
      <c r="BDF56"/>
      <c r="BDG56"/>
      <c r="BDH56"/>
      <c r="BDI56"/>
      <c r="BDJ56"/>
      <c r="BDK56"/>
      <c r="BDL56"/>
      <c r="BDM56"/>
      <c r="BDN56"/>
      <c r="BDO56"/>
      <c r="BDP56"/>
      <c r="BDQ56"/>
      <c r="BDR56"/>
      <c r="BDS56"/>
      <c r="BDT56"/>
      <c r="BDU56"/>
      <c r="BDV56"/>
      <c r="BDW56"/>
      <c r="BDX56"/>
      <c r="BDY56"/>
      <c r="BDZ56"/>
      <c r="BEA56"/>
      <c r="BEB56"/>
      <c r="BEC56"/>
      <c r="BED56"/>
      <c r="BEE56"/>
      <c r="BEF56"/>
      <c r="BEG56"/>
      <c r="BEH56"/>
      <c r="BEI56"/>
      <c r="BEJ56"/>
      <c r="BEK56"/>
      <c r="BEL56"/>
      <c r="BEM56"/>
      <c r="BEN56"/>
      <c r="BEO56"/>
      <c r="BEP56"/>
      <c r="BEQ56"/>
      <c r="BER56"/>
      <c r="BES56"/>
      <c r="BET56"/>
      <c r="BEU56"/>
      <c r="BEV56"/>
      <c r="BEW56"/>
      <c r="BEX56"/>
      <c r="BEY56"/>
      <c r="BEZ56"/>
      <c r="BFA56"/>
      <c r="BFB56"/>
      <c r="BFC56"/>
      <c r="BFD56"/>
      <c r="BFE56"/>
      <c r="BFF56"/>
      <c r="BFG56"/>
      <c r="BFH56"/>
      <c r="BFI56"/>
      <c r="BFJ56"/>
      <c r="BFK56"/>
      <c r="BFL56"/>
      <c r="BFM56"/>
      <c r="BFN56"/>
      <c r="BFO56"/>
      <c r="BFP56"/>
      <c r="BFQ56"/>
      <c r="BFR56"/>
      <c r="BFS56"/>
      <c r="BFT56"/>
      <c r="BFU56"/>
      <c r="BFV56"/>
      <c r="BFW56"/>
      <c r="BFX56"/>
      <c r="BFY56"/>
      <c r="BFZ56"/>
      <c r="BGA56"/>
      <c r="BGB56"/>
      <c r="BGC56"/>
      <c r="BGD56"/>
      <c r="BGE56"/>
      <c r="BGF56"/>
      <c r="BGG56"/>
      <c r="BGH56"/>
      <c r="BGI56"/>
      <c r="BGJ56"/>
      <c r="BGK56"/>
      <c r="BGL56"/>
      <c r="BGM56"/>
      <c r="BGN56"/>
      <c r="BGO56"/>
      <c r="BGP56"/>
      <c r="BGQ56"/>
      <c r="BGR56"/>
      <c r="BGS56"/>
      <c r="BGT56"/>
      <c r="BGU56"/>
      <c r="BGV56"/>
      <c r="BGW56"/>
      <c r="BGX56"/>
      <c r="BGY56"/>
      <c r="BGZ56"/>
      <c r="BHA56"/>
      <c r="BHB56"/>
      <c r="BHC56"/>
      <c r="BHD56"/>
      <c r="BHE56"/>
      <c r="BHF56"/>
      <c r="BHG56"/>
      <c r="BHH56"/>
      <c r="BHI56"/>
      <c r="BHJ56"/>
      <c r="BHK56"/>
      <c r="BHL56"/>
      <c r="BHM56"/>
      <c r="BHN56"/>
      <c r="BHO56"/>
      <c r="BHP56"/>
      <c r="BHQ56"/>
      <c r="BHR56"/>
      <c r="BHS56"/>
      <c r="BHT56"/>
      <c r="BHU56"/>
      <c r="BHV56"/>
      <c r="BHW56"/>
      <c r="BHX56"/>
      <c r="BHY56"/>
      <c r="BHZ56"/>
      <c r="BIA56"/>
      <c r="BIB56"/>
      <c r="BIC56"/>
      <c r="BID56"/>
      <c r="BIE56"/>
      <c r="BIF56"/>
      <c r="BIG56"/>
      <c r="BIH56"/>
      <c r="BII56"/>
      <c r="BIJ56"/>
      <c r="BIK56"/>
      <c r="BIL56"/>
      <c r="BIM56"/>
      <c r="BIN56"/>
      <c r="BIO56"/>
      <c r="BIP56"/>
      <c r="BIQ56"/>
      <c r="BIR56"/>
      <c r="BIS56"/>
      <c r="BIT56"/>
      <c r="BIU56"/>
      <c r="BIV56"/>
      <c r="BIW56"/>
      <c r="BIX56"/>
      <c r="BIY56"/>
      <c r="BIZ56"/>
      <c r="BJA56"/>
      <c r="BJB56"/>
      <c r="BJC56"/>
      <c r="BJD56"/>
      <c r="BJE56"/>
      <c r="BJF56"/>
      <c r="BJG56"/>
      <c r="BJH56"/>
      <c r="BJI56"/>
      <c r="BJJ56"/>
      <c r="BJK56"/>
      <c r="BJL56"/>
      <c r="BJM56"/>
      <c r="BJN56"/>
      <c r="BJO56"/>
      <c r="BJP56"/>
      <c r="BJQ56"/>
      <c r="BJR56"/>
      <c r="BJS56"/>
      <c r="BJT56"/>
      <c r="BJU56"/>
      <c r="BJV56"/>
      <c r="BJW56"/>
      <c r="BJX56"/>
      <c r="BJY56"/>
      <c r="BJZ56"/>
      <c r="BKA56"/>
      <c r="BKB56"/>
      <c r="BKC56"/>
      <c r="BKD56"/>
      <c r="BKE56"/>
      <c r="BKF56"/>
      <c r="BKG56"/>
      <c r="BKH56"/>
      <c r="BKI56"/>
      <c r="BKJ56"/>
      <c r="BKK56"/>
      <c r="BKL56"/>
      <c r="BKM56"/>
      <c r="BKN56"/>
      <c r="BKO56"/>
      <c r="BKP56"/>
      <c r="BKQ56"/>
      <c r="BKR56"/>
      <c r="BKS56"/>
      <c r="BKT56"/>
      <c r="BKU56"/>
      <c r="BKV56"/>
      <c r="BKW56"/>
      <c r="BKX56"/>
      <c r="BKY56"/>
      <c r="BKZ56"/>
      <c r="BLA56"/>
      <c r="BLB56"/>
      <c r="BLC56"/>
      <c r="BLD56"/>
      <c r="BLE56"/>
      <c r="BLF56"/>
      <c r="BLG56"/>
      <c r="BLH56"/>
      <c r="BLI56"/>
      <c r="BLJ56"/>
      <c r="BLK56"/>
      <c r="BLL56"/>
      <c r="BLM56"/>
      <c r="BLN56"/>
      <c r="BLO56"/>
      <c r="BLP56"/>
      <c r="BLQ56"/>
      <c r="BLR56"/>
      <c r="BLS56"/>
      <c r="BLT56"/>
      <c r="BLU56"/>
      <c r="BLV56"/>
      <c r="BLW56"/>
      <c r="BLX56"/>
      <c r="BLY56"/>
      <c r="BLZ56"/>
      <c r="BMA56"/>
      <c r="BMB56"/>
      <c r="BMC56"/>
      <c r="BMD56"/>
      <c r="BME56"/>
      <c r="BMF56"/>
      <c r="BMG56"/>
      <c r="BMH56"/>
      <c r="BMI56"/>
      <c r="BMJ56"/>
      <c r="BMK56"/>
      <c r="BML56"/>
      <c r="BMM56"/>
      <c r="BMN56"/>
      <c r="BMO56"/>
      <c r="BMP56"/>
      <c r="BMQ56"/>
      <c r="BMR56"/>
      <c r="BMS56"/>
      <c r="BMT56"/>
      <c r="BMU56"/>
      <c r="BMV56"/>
      <c r="BMW56"/>
      <c r="BMX56"/>
      <c r="BMY56"/>
      <c r="BMZ56"/>
      <c r="BNA56"/>
      <c r="BNB56"/>
      <c r="BNC56"/>
      <c r="BND56"/>
      <c r="BNE56"/>
      <c r="BNF56"/>
      <c r="BNG56"/>
      <c r="BNH56"/>
      <c r="BNI56"/>
      <c r="BNJ56"/>
      <c r="BNK56"/>
      <c r="BNL56"/>
      <c r="BNM56"/>
      <c r="BNN56"/>
      <c r="BNO56"/>
      <c r="BNP56"/>
      <c r="BNQ56"/>
      <c r="BNR56"/>
      <c r="BNS56"/>
      <c r="BNT56"/>
      <c r="BNU56"/>
      <c r="BNV56"/>
      <c r="BNW56"/>
      <c r="BNX56"/>
      <c r="BNY56"/>
      <c r="BNZ56"/>
      <c r="BOA56"/>
      <c r="BOB56"/>
      <c r="BOC56"/>
      <c r="BOD56"/>
      <c r="BOE56"/>
      <c r="BOF56"/>
      <c r="BOG56"/>
      <c r="BOH56"/>
      <c r="BOI56"/>
      <c r="BOJ56"/>
      <c r="BOK56"/>
      <c r="BOL56"/>
      <c r="BOM56"/>
      <c r="BON56"/>
      <c r="BOO56"/>
      <c r="BOP56"/>
      <c r="BOQ56"/>
      <c r="BOR56"/>
      <c r="BOS56"/>
      <c r="BOT56"/>
      <c r="BOU56"/>
      <c r="BOV56"/>
      <c r="BOW56"/>
      <c r="BOX56"/>
      <c r="BOY56"/>
      <c r="BOZ56"/>
      <c r="BPA56"/>
      <c r="BPB56"/>
      <c r="BPC56"/>
      <c r="BPD56"/>
      <c r="BPE56"/>
      <c r="BPF56"/>
      <c r="BPG56"/>
      <c r="BPH56"/>
      <c r="BPI56"/>
      <c r="BPJ56"/>
      <c r="BPK56"/>
      <c r="BPL56"/>
      <c r="BPM56"/>
      <c r="BPN56"/>
      <c r="BPO56"/>
      <c r="BPP56"/>
      <c r="BPQ56"/>
      <c r="BPR56"/>
      <c r="BPS56"/>
      <c r="BPT56"/>
      <c r="BPU56"/>
      <c r="BPV56"/>
      <c r="BPW56"/>
      <c r="BPX56"/>
      <c r="BPY56"/>
      <c r="BPZ56"/>
      <c r="BQA56"/>
      <c r="BQB56"/>
      <c r="BQC56"/>
      <c r="BQD56"/>
      <c r="BQE56"/>
      <c r="BQF56"/>
      <c r="BQG56"/>
      <c r="BQH56"/>
      <c r="BQI56"/>
      <c r="BQJ56"/>
      <c r="BQK56"/>
      <c r="BQL56"/>
      <c r="BQM56"/>
      <c r="BQN56"/>
      <c r="BQO56"/>
      <c r="BQP56"/>
      <c r="BQQ56"/>
      <c r="BQR56"/>
      <c r="BQS56"/>
      <c r="BQT56"/>
      <c r="BQU56"/>
      <c r="BQV56"/>
      <c r="BQW56"/>
      <c r="BQX56"/>
      <c r="BQY56"/>
      <c r="BQZ56"/>
      <c r="BRA56"/>
      <c r="BRB56"/>
      <c r="BRC56"/>
      <c r="BRD56"/>
      <c r="BRE56"/>
      <c r="BRF56"/>
      <c r="BRG56"/>
      <c r="BRH56"/>
      <c r="BRI56"/>
      <c r="BRJ56"/>
      <c r="BRK56"/>
      <c r="BRL56"/>
      <c r="BRM56"/>
      <c r="BRN56"/>
      <c r="BRO56"/>
      <c r="BRP56"/>
      <c r="BRQ56"/>
      <c r="BRR56"/>
      <c r="BRS56"/>
      <c r="BRT56"/>
      <c r="BRU56"/>
      <c r="BRV56"/>
      <c r="BRW56"/>
      <c r="BRX56"/>
      <c r="BRY56"/>
      <c r="BRZ56"/>
      <c r="BSA56"/>
      <c r="BSB56"/>
      <c r="BSC56"/>
      <c r="BSD56"/>
      <c r="BSE56"/>
      <c r="BSF56"/>
      <c r="BSG56"/>
      <c r="BSH56"/>
      <c r="BSI56"/>
      <c r="BSJ56"/>
      <c r="BSK56"/>
      <c r="BSL56"/>
      <c r="BSM56"/>
      <c r="BSN56"/>
      <c r="BSO56"/>
      <c r="BSP56"/>
      <c r="BSQ56"/>
      <c r="BSR56"/>
      <c r="BSS56"/>
      <c r="BST56"/>
      <c r="BSU56"/>
      <c r="BSV56"/>
      <c r="BSW56"/>
      <c r="BSX56"/>
      <c r="BSY56"/>
      <c r="BSZ56"/>
      <c r="BTA56"/>
      <c r="BTB56"/>
      <c r="BTC56"/>
      <c r="BTD56"/>
      <c r="BTE56"/>
      <c r="BTF56"/>
      <c r="BTG56"/>
      <c r="BTH56"/>
      <c r="BTI56"/>
      <c r="BTJ56"/>
      <c r="BTK56"/>
      <c r="BTL56"/>
      <c r="BTM56"/>
      <c r="BTN56"/>
      <c r="BTO56"/>
      <c r="BTP56"/>
      <c r="BTQ56"/>
      <c r="BTR56"/>
      <c r="BTS56"/>
      <c r="BTT56"/>
      <c r="BTU56"/>
      <c r="BTV56"/>
      <c r="BTW56"/>
      <c r="BTX56"/>
      <c r="BTY56"/>
      <c r="BTZ56"/>
      <c r="BUA56"/>
      <c r="BUB56"/>
      <c r="BUC56"/>
      <c r="BUD56"/>
      <c r="BUE56"/>
      <c r="BUF56"/>
      <c r="BUG56"/>
      <c r="BUH56"/>
      <c r="BUI56"/>
      <c r="BUJ56"/>
      <c r="BUK56"/>
      <c r="BUL56"/>
      <c r="BUM56"/>
      <c r="BUN56"/>
      <c r="BUO56"/>
      <c r="BUP56"/>
      <c r="BUQ56"/>
      <c r="BUR56"/>
      <c r="BUS56"/>
      <c r="BUT56"/>
      <c r="BUU56"/>
      <c r="BUV56"/>
      <c r="BUW56"/>
      <c r="BUX56"/>
      <c r="BUY56"/>
      <c r="BUZ56"/>
      <c r="BVA56"/>
      <c r="BVB56"/>
      <c r="BVC56"/>
      <c r="BVD56"/>
      <c r="BVE56"/>
      <c r="BVF56"/>
      <c r="BVG56"/>
      <c r="BVH56"/>
      <c r="BVI56"/>
      <c r="BVJ56"/>
      <c r="BVK56"/>
      <c r="BVL56"/>
      <c r="BVM56"/>
      <c r="BVN56"/>
      <c r="BVO56"/>
      <c r="BVP56"/>
      <c r="BVQ56"/>
      <c r="BVR56"/>
      <c r="BVS56"/>
      <c r="BVT56"/>
      <c r="BVU56"/>
      <c r="BVV56"/>
      <c r="BVW56"/>
      <c r="BVX56"/>
      <c r="BVY56"/>
      <c r="BVZ56"/>
      <c r="BWA56"/>
      <c r="BWB56"/>
      <c r="BWC56"/>
      <c r="BWD56"/>
      <c r="BWE56"/>
      <c r="BWF56"/>
      <c r="BWG56"/>
      <c r="BWH56"/>
      <c r="BWI56"/>
      <c r="BWJ56"/>
      <c r="BWK56"/>
      <c r="BWL56"/>
      <c r="BWM56"/>
      <c r="BWN56"/>
      <c r="BWO56"/>
      <c r="BWP56"/>
      <c r="BWQ56"/>
      <c r="BWR56"/>
      <c r="BWS56"/>
      <c r="BWT56"/>
      <c r="BWU56"/>
      <c r="BWV56"/>
      <c r="BWW56"/>
      <c r="BWX56"/>
      <c r="BWY56"/>
      <c r="BWZ56"/>
      <c r="BXA56"/>
      <c r="BXB56"/>
      <c r="BXC56"/>
      <c r="BXD56"/>
      <c r="BXE56"/>
      <c r="BXF56"/>
      <c r="BXG56"/>
      <c r="BXH56"/>
      <c r="BXI56"/>
      <c r="BXJ56"/>
      <c r="BXK56"/>
      <c r="BXL56"/>
      <c r="BXM56"/>
      <c r="BXN56"/>
      <c r="BXO56"/>
      <c r="BXP56"/>
      <c r="BXQ56"/>
      <c r="BXR56"/>
      <c r="BXS56"/>
      <c r="BXT56"/>
      <c r="BXU56"/>
      <c r="BXV56"/>
      <c r="BXW56"/>
      <c r="BXX56"/>
      <c r="BXY56"/>
      <c r="BXZ56"/>
      <c r="BYA56"/>
      <c r="BYB56"/>
      <c r="BYC56"/>
      <c r="BYD56"/>
      <c r="BYE56"/>
      <c r="BYF56"/>
      <c r="BYG56"/>
    </row>
    <row r="57" spans="1:2009" ht="12.75" hidden="1" customHeight="1" thickBot="1" x14ac:dyDescent="0.3">
      <c r="A57" s="81"/>
      <c r="B57" s="81"/>
      <c r="C57" s="142"/>
      <c r="D57" s="142"/>
      <c r="E57" s="142"/>
      <c r="F57" s="142"/>
      <c r="G57" s="515"/>
    </row>
    <row r="58" spans="1:2009" s="89" customFormat="1" ht="24.95" customHeight="1" thickBot="1" x14ac:dyDescent="0.3">
      <c r="A58" s="379" t="s">
        <v>628</v>
      </c>
      <c r="B58" s="376"/>
      <c r="C58" s="377"/>
      <c r="D58" s="378"/>
      <c r="E58" s="378"/>
      <c r="F58" s="378">
        <v>26000</v>
      </c>
      <c r="G58" s="533">
        <f>SUM(C58:F58)</f>
        <v>26000</v>
      </c>
      <c r="H58"/>
      <c r="I58" s="21"/>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c r="AMK58"/>
      <c r="AML58"/>
      <c r="AMM58"/>
      <c r="AMN58"/>
      <c r="AMO58"/>
      <c r="AMP58"/>
      <c r="AMQ58"/>
      <c r="AMR58"/>
      <c r="AMS58"/>
      <c r="AMT58"/>
      <c r="AMU58"/>
      <c r="AMV58"/>
      <c r="AMW58"/>
      <c r="AMX58"/>
      <c r="AMY58"/>
      <c r="AMZ58"/>
      <c r="ANA58"/>
      <c r="ANB58"/>
      <c r="ANC58"/>
      <c r="AND58"/>
      <c r="ANE58"/>
      <c r="ANF58"/>
      <c r="ANG58"/>
      <c r="ANH58"/>
      <c r="ANI58"/>
      <c r="ANJ58"/>
      <c r="ANK58"/>
      <c r="ANL58"/>
      <c r="ANM58"/>
      <c r="ANN58"/>
      <c r="ANO58"/>
      <c r="ANP58"/>
      <c r="ANQ58"/>
      <c r="ANR58"/>
      <c r="ANS58"/>
      <c r="ANT58"/>
      <c r="ANU58"/>
      <c r="ANV58"/>
      <c r="ANW58"/>
      <c r="ANX58"/>
      <c r="ANY58"/>
      <c r="ANZ58"/>
      <c r="AOA58"/>
      <c r="AOB58"/>
      <c r="AOC58"/>
      <c r="AOD58"/>
      <c r="AOE58"/>
      <c r="AOF58"/>
      <c r="AOG58"/>
      <c r="AOH58"/>
      <c r="AOI58"/>
      <c r="AOJ58"/>
      <c r="AOK58"/>
      <c r="AOL58"/>
      <c r="AOM58"/>
      <c r="AON58"/>
      <c r="AOO58"/>
      <c r="AOP58"/>
      <c r="AOQ58"/>
      <c r="AOR58"/>
      <c r="AOS58"/>
      <c r="AOT58"/>
      <c r="AOU58"/>
      <c r="AOV58"/>
      <c r="AOW58"/>
      <c r="AOX58"/>
      <c r="AOY58"/>
      <c r="AOZ58"/>
      <c r="APA58"/>
      <c r="APB58"/>
      <c r="APC58"/>
      <c r="APD58"/>
      <c r="APE58"/>
      <c r="APF58"/>
      <c r="APG58"/>
      <c r="APH58"/>
      <c r="API58"/>
      <c r="APJ58"/>
      <c r="APK58"/>
      <c r="APL58"/>
      <c r="APM58"/>
      <c r="APN58"/>
      <c r="APO58"/>
      <c r="APP58"/>
      <c r="APQ58"/>
      <c r="APR58"/>
      <c r="APS58"/>
      <c r="APT58"/>
      <c r="APU58"/>
      <c r="APV58"/>
      <c r="APW58"/>
      <c r="APX58"/>
      <c r="APY58"/>
      <c r="APZ58"/>
      <c r="AQA58"/>
      <c r="AQB58"/>
      <c r="AQC58"/>
      <c r="AQD58"/>
      <c r="AQE58"/>
      <c r="AQF58"/>
      <c r="AQG58"/>
      <c r="AQH58"/>
      <c r="AQI58"/>
      <c r="AQJ58"/>
      <c r="AQK58"/>
      <c r="AQL58"/>
      <c r="AQM58"/>
      <c r="AQN58"/>
      <c r="AQO58"/>
      <c r="AQP58"/>
      <c r="AQQ58"/>
      <c r="AQR58"/>
      <c r="AQS58"/>
      <c r="AQT58"/>
      <c r="AQU58"/>
      <c r="AQV58"/>
      <c r="AQW58"/>
      <c r="AQX58"/>
      <c r="AQY58"/>
      <c r="AQZ58"/>
      <c r="ARA58"/>
      <c r="ARB58"/>
      <c r="ARC58"/>
      <c r="ARD58"/>
      <c r="ARE58"/>
      <c r="ARF58"/>
      <c r="ARG58"/>
      <c r="ARH58"/>
      <c r="ARI58"/>
      <c r="ARJ58"/>
      <c r="ARK58"/>
      <c r="ARL58"/>
      <c r="ARM58"/>
      <c r="ARN58"/>
      <c r="ARO58"/>
      <c r="ARP58"/>
      <c r="ARQ58"/>
      <c r="ARR58"/>
      <c r="ARS58"/>
      <c r="ART58"/>
      <c r="ARU58"/>
      <c r="ARV58"/>
      <c r="ARW58"/>
      <c r="ARX58"/>
      <c r="ARY58"/>
      <c r="ARZ58"/>
      <c r="ASA58"/>
      <c r="ASB58"/>
      <c r="ASC58"/>
      <c r="ASD58"/>
      <c r="ASE58"/>
      <c r="ASF58"/>
      <c r="ASG58"/>
      <c r="ASH58"/>
      <c r="ASI58"/>
      <c r="ASJ58"/>
      <c r="ASK58"/>
      <c r="ASL58"/>
      <c r="ASM58"/>
      <c r="ASN58"/>
      <c r="ASO58"/>
      <c r="ASP58"/>
      <c r="ASQ58"/>
      <c r="ASR58"/>
      <c r="ASS58"/>
      <c r="AST58"/>
      <c r="ASU58"/>
      <c r="ASV58"/>
      <c r="ASW58"/>
      <c r="ASX58"/>
      <c r="ASY58"/>
      <c r="ASZ58"/>
      <c r="ATA58"/>
      <c r="ATB58"/>
      <c r="ATC58"/>
      <c r="ATD58"/>
      <c r="ATE58"/>
      <c r="ATF58"/>
      <c r="ATG58"/>
      <c r="ATH58"/>
      <c r="ATI58"/>
      <c r="ATJ58"/>
      <c r="ATK58"/>
      <c r="ATL58"/>
      <c r="ATM58"/>
      <c r="ATN58"/>
      <c r="ATO58"/>
      <c r="ATP58"/>
      <c r="ATQ58"/>
      <c r="ATR58"/>
      <c r="ATS58"/>
      <c r="ATT58"/>
      <c r="ATU58"/>
      <c r="ATV58"/>
      <c r="ATW58"/>
      <c r="ATX58"/>
      <c r="ATY58"/>
      <c r="ATZ58"/>
      <c r="AUA58"/>
      <c r="AUB58"/>
      <c r="AUC58"/>
      <c r="AUD58"/>
      <c r="AUE58"/>
      <c r="AUF58"/>
      <c r="AUG58"/>
      <c r="AUH58"/>
      <c r="AUI58"/>
      <c r="AUJ58"/>
      <c r="AUK58"/>
      <c r="AUL58"/>
      <c r="AUM58"/>
      <c r="AUN58"/>
      <c r="AUO58"/>
      <c r="AUP58"/>
      <c r="AUQ58"/>
      <c r="AUR58"/>
      <c r="AUS58"/>
      <c r="AUT58"/>
      <c r="AUU58"/>
      <c r="AUV58"/>
      <c r="AUW58"/>
      <c r="AUX58"/>
      <c r="AUY58"/>
      <c r="AUZ58"/>
      <c r="AVA58"/>
      <c r="AVB58"/>
      <c r="AVC58"/>
      <c r="AVD58"/>
      <c r="AVE58"/>
      <c r="AVF58"/>
      <c r="AVG58"/>
      <c r="AVH58"/>
      <c r="AVI58"/>
      <c r="AVJ58"/>
      <c r="AVK58"/>
      <c r="AVL58"/>
      <c r="AVM58"/>
      <c r="AVN58"/>
      <c r="AVO58"/>
      <c r="AVP58"/>
      <c r="AVQ58"/>
      <c r="AVR58"/>
      <c r="AVS58"/>
      <c r="AVT58"/>
      <c r="AVU58"/>
      <c r="AVV58"/>
      <c r="AVW58"/>
      <c r="AVX58"/>
      <c r="AVY58"/>
      <c r="AVZ58"/>
      <c r="AWA58"/>
      <c r="AWB58"/>
      <c r="AWC58"/>
      <c r="AWD58"/>
      <c r="AWE58"/>
      <c r="AWF58"/>
      <c r="AWG58"/>
      <c r="AWH58"/>
      <c r="AWI58"/>
      <c r="AWJ58"/>
      <c r="AWK58"/>
      <c r="AWL58"/>
      <c r="AWM58"/>
      <c r="AWN58"/>
      <c r="AWO58"/>
      <c r="AWP58"/>
      <c r="AWQ58"/>
      <c r="AWR58"/>
      <c r="AWS58"/>
      <c r="AWT58"/>
      <c r="AWU58"/>
      <c r="AWV58"/>
      <c r="AWW58"/>
      <c r="AWX58"/>
      <c r="AWY58"/>
      <c r="AWZ58"/>
      <c r="AXA58"/>
      <c r="AXB58"/>
      <c r="AXC58"/>
      <c r="AXD58"/>
      <c r="AXE58"/>
      <c r="AXF58"/>
      <c r="AXG58"/>
      <c r="AXH58"/>
      <c r="AXI58"/>
      <c r="AXJ58"/>
      <c r="AXK58"/>
      <c r="AXL58"/>
      <c r="AXM58"/>
      <c r="AXN58"/>
      <c r="AXO58"/>
      <c r="AXP58"/>
      <c r="AXQ58"/>
      <c r="AXR58"/>
      <c r="AXS58"/>
      <c r="AXT58"/>
      <c r="AXU58"/>
      <c r="AXV58"/>
      <c r="AXW58"/>
      <c r="AXX58"/>
      <c r="AXY58"/>
      <c r="AXZ58"/>
      <c r="AYA58"/>
      <c r="AYB58"/>
      <c r="AYC58"/>
      <c r="AYD58"/>
      <c r="AYE58"/>
      <c r="AYF58"/>
      <c r="AYG58"/>
      <c r="AYH58"/>
      <c r="AYI58"/>
      <c r="AYJ58"/>
      <c r="AYK58"/>
      <c r="AYL58"/>
      <c r="AYM58"/>
      <c r="AYN58"/>
      <c r="AYO58"/>
      <c r="AYP58"/>
      <c r="AYQ58"/>
      <c r="AYR58"/>
      <c r="AYS58"/>
      <c r="AYT58"/>
      <c r="AYU58"/>
      <c r="AYV58"/>
      <c r="AYW58"/>
      <c r="AYX58"/>
      <c r="AYY58"/>
      <c r="AYZ58"/>
      <c r="AZA58"/>
      <c r="AZB58"/>
      <c r="AZC58"/>
      <c r="AZD58"/>
      <c r="AZE58"/>
      <c r="AZF58"/>
      <c r="AZG58"/>
      <c r="AZH58"/>
      <c r="AZI58"/>
      <c r="AZJ58"/>
      <c r="AZK58"/>
      <c r="AZL58"/>
      <c r="AZM58"/>
      <c r="AZN58"/>
      <c r="AZO58"/>
      <c r="AZP58"/>
      <c r="AZQ58"/>
      <c r="AZR58"/>
      <c r="AZS58"/>
      <c r="AZT58"/>
      <c r="AZU58"/>
      <c r="AZV58"/>
      <c r="AZW58"/>
      <c r="AZX58"/>
      <c r="AZY58"/>
      <c r="AZZ58"/>
      <c r="BAA58"/>
      <c r="BAB58"/>
      <c r="BAC58"/>
      <c r="BAD58"/>
      <c r="BAE58"/>
      <c r="BAF58"/>
      <c r="BAG58"/>
      <c r="BAH58"/>
      <c r="BAI58"/>
      <c r="BAJ58"/>
      <c r="BAK58"/>
      <c r="BAL58"/>
      <c r="BAM58"/>
      <c r="BAN58"/>
      <c r="BAO58"/>
      <c r="BAP58"/>
      <c r="BAQ58"/>
      <c r="BAR58"/>
      <c r="BAS58"/>
      <c r="BAT58"/>
      <c r="BAU58"/>
      <c r="BAV58"/>
      <c r="BAW58"/>
      <c r="BAX58"/>
      <c r="BAY58"/>
      <c r="BAZ58"/>
      <c r="BBA58"/>
      <c r="BBB58"/>
      <c r="BBC58"/>
      <c r="BBD58"/>
      <c r="BBE58"/>
      <c r="BBF58"/>
      <c r="BBG58"/>
      <c r="BBH58"/>
      <c r="BBI58"/>
      <c r="BBJ58"/>
      <c r="BBK58"/>
      <c r="BBL58"/>
      <c r="BBM58"/>
      <c r="BBN58"/>
      <c r="BBO58"/>
      <c r="BBP58"/>
      <c r="BBQ58"/>
      <c r="BBR58"/>
      <c r="BBS58"/>
      <c r="BBT58"/>
      <c r="BBU58"/>
      <c r="BBV58"/>
      <c r="BBW58"/>
      <c r="BBX58"/>
      <c r="BBY58"/>
      <c r="BBZ58"/>
      <c r="BCA58"/>
      <c r="BCB58"/>
      <c r="BCC58"/>
      <c r="BCD58"/>
      <c r="BCE58"/>
      <c r="BCF58"/>
      <c r="BCG58"/>
      <c r="BCH58"/>
      <c r="BCI58"/>
      <c r="BCJ58"/>
      <c r="BCK58"/>
      <c r="BCL58"/>
      <c r="BCM58"/>
      <c r="BCN58"/>
      <c r="BCO58"/>
      <c r="BCP58"/>
      <c r="BCQ58"/>
      <c r="BCR58"/>
      <c r="BCS58"/>
      <c r="BCT58"/>
      <c r="BCU58"/>
      <c r="BCV58"/>
      <c r="BCW58"/>
      <c r="BCX58"/>
      <c r="BCY58"/>
      <c r="BCZ58"/>
      <c r="BDA58"/>
      <c r="BDB58"/>
      <c r="BDC58"/>
      <c r="BDD58"/>
      <c r="BDE58"/>
      <c r="BDF58"/>
      <c r="BDG58"/>
      <c r="BDH58"/>
      <c r="BDI58"/>
      <c r="BDJ58"/>
      <c r="BDK58"/>
      <c r="BDL58"/>
      <c r="BDM58"/>
      <c r="BDN58"/>
      <c r="BDO58"/>
      <c r="BDP58"/>
      <c r="BDQ58"/>
      <c r="BDR58"/>
      <c r="BDS58"/>
      <c r="BDT58"/>
      <c r="BDU58"/>
      <c r="BDV58"/>
      <c r="BDW58"/>
      <c r="BDX58"/>
      <c r="BDY58"/>
      <c r="BDZ58"/>
      <c r="BEA58"/>
      <c r="BEB58"/>
      <c r="BEC58"/>
      <c r="BED58"/>
      <c r="BEE58"/>
      <c r="BEF58"/>
      <c r="BEG58"/>
      <c r="BEH58"/>
      <c r="BEI58"/>
      <c r="BEJ58"/>
      <c r="BEK58"/>
      <c r="BEL58"/>
      <c r="BEM58"/>
      <c r="BEN58"/>
      <c r="BEO58"/>
      <c r="BEP58"/>
      <c r="BEQ58"/>
      <c r="BER58"/>
      <c r="BES58"/>
      <c r="BET58"/>
      <c r="BEU58"/>
      <c r="BEV58"/>
      <c r="BEW58"/>
      <c r="BEX58"/>
      <c r="BEY58"/>
      <c r="BEZ58"/>
      <c r="BFA58"/>
      <c r="BFB58"/>
      <c r="BFC58"/>
      <c r="BFD58"/>
      <c r="BFE58"/>
      <c r="BFF58"/>
      <c r="BFG58"/>
      <c r="BFH58"/>
      <c r="BFI58"/>
      <c r="BFJ58"/>
      <c r="BFK58"/>
      <c r="BFL58"/>
      <c r="BFM58"/>
      <c r="BFN58"/>
      <c r="BFO58"/>
      <c r="BFP58"/>
      <c r="BFQ58"/>
      <c r="BFR58"/>
      <c r="BFS58"/>
      <c r="BFT58"/>
      <c r="BFU58"/>
      <c r="BFV58"/>
      <c r="BFW58"/>
      <c r="BFX58"/>
      <c r="BFY58"/>
      <c r="BFZ58"/>
      <c r="BGA58"/>
      <c r="BGB58"/>
      <c r="BGC58"/>
      <c r="BGD58"/>
      <c r="BGE58"/>
      <c r="BGF58"/>
      <c r="BGG58"/>
      <c r="BGH58"/>
      <c r="BGI58"/>
      <c r="BGJ58"/>
      <c r="BGK58"/>
      <c r="BGL58"/>
      <c r="BGM58"/>
      <c r="BGN58"/>
      <c r="BGO58"/>
      <c r="BGP58"/>
      <c r="BGQ58"/>
      <c r="BGR58"/>
      <c r="BGS58"/>
      <c r="BGT58"/>
      <c r="BGU58"/>
      <c r="BGV58"/>
      <c r="BGW58"/>
      <c r="BGX58"/>
      <c r="BGY58"/>
      <c r="BGZ58"/>
      <c r="BHA58"/>
      <c r="BHB58"/>
      <c r="BHC58"/>
      <c r="BHD58"/>
      <c r="BHE58"/>
      <c r="BHF58"/>
      <c r="BHG58"/>
      <c r="BHH58"/>
      <c r="BHI58"/>
      <c r="BHJ58"/>
      <c r="BHK58"/>
      <c r="BHL58"/>
      <c r="BHM58"/>
      <c r="BHN58"/>
      <c r="BHO58"/>
      <c r="BHP58"/>
      <c r="BHQ58"/>
      <c r="BHR58"/>
      <c r="BHS58"/>
      <c r="BHT58"/>
      <c r="BHU58"/>
      <c r="BHV58"/>
      <c r="BHW58"/>
      <c r="BHX58"/>
      <c r="BHY58"/>
      <c r="BHZ58"/>
      <c r="BIA58"/>
      <c r="BIB58"/>
      <c r="BIC58"/>
      <c r="BID58"/>
      <c r="BIE58"/>
      <c r="BIF58"/>
      <c r="BIG58"/>
      <c r="BIH58"/>
      <c r="BII58"/>
      <c r="BIJ58"/>
      <c r="BIK58"/>
      <c r="BIL58"/>
      <c r="BIM58"/>
      <c r="BIN58"/>
      <c r="BIO58"/>
      <c r="BIP58"/>
      <c r="BIQ58"/>
      <c r="BIR58"/>
      <c r="BIS58"/>
      <c r="BIT58"/>
      <c r="BIU58"/>
      <c r="BIV58"/>
      <c r="BIW58"/>
      <c r="BIX58"/>
      <c r="BIY58"/>
      <c r="BIZ58"/>
      <c r="BJA58"/>
      <c r="BJB58"/>
      <c r="BJC58"/>
      <c r="BJD58"/>
      <c r="BJE58"/>
      <c r="BJF58"/>
      <c r="BJG58"/>
      <c r="BJH58"/>
      <c r="BJI58"/>
      <c r="BJJ58"/>
      <c r="BJK58"/>
      <c r="BJL58"/>
      <c r="BJM58"/>
      <c r="BJN58"/>
      <c r="BJO58"/>
      <c r="BJP58"/>
      <c r="BJQ58"/>
      <c r="BJR58"/>
      <c r="BJS58"/>
      <c r="BJT58"/>
      <c r="BJU58"/>
      <c r="BJV58"/>
      <c r="BJW58"/>
      <c r="BJX58"/>
      <c r="BJY58"/>
      <c r="BJZ58"/>
      <c r="BKA58"/>
      <c r="BKB58"/>
      <c r="BKC58"/>
      <c r="BKD58"/>
      <c r="BKE58"/>
      <c r="BKF58"/>
      <c r="BKG58"/>
      <c r="BKH58"/>
      <c r="BKI58"/>
      <c r="BKJ58"/>
      <c r="BKK58"/>
      <c r="BKL58"/>
      <c r="BKM58"/>
      <c r="BKN58"/>
      <c r="BKO58"/>
      <c r="BKP58"/>
      <c r="BKQ58"/>
      <c r="BKR58"/>
      <c r="BKS58"/>
      <c r="BKT58"/>
      <c r="BKU58"/>
      <c r="BKV58"/>
      <c r="BKW58"/>
      <c r="BKX58"/>
      <c r="BKY58"/>
      <c r="BKZ58"/>
      <c r="BLA58"/>
      <c r="BLB58"/>
      <c r="BLC58"/>
      <c r="BLD58"/>
      <c r="BLE58"/>
      <c r="BLF58"/>
      <c r="BLG58"/>
      <c r="BLH58"/>
      <c r="BLI58"/>
      <c r="BLJ58"/>
      <c r="BLK58"/>
      <c r="BLL58"/>
      <c r="BLM58"/>
      <c r="BLN58"/>
      <c r="BLO58"/>
      <c r="BLP58"/>
      <c r="BLQ58"/>
      <c r="BLR58"/>
      <c r="BLS58"/>
      <c r="BLT58"/>
      <c r="BLU58"/>
      <c r="BLV58"/>
      <c r="BLW58"/>
      <c r="BLX58"/>
      <c r="BLY58"/>
      <c r="BLZ58"/>
      <c r="BMA58"/>
      <c r="BMB58"/>
      <c r="BMC58"/>
      <c r="BMD58"/>
      <c r="BME58"/>
      <c r="BMF58"/>
      <c r="BMG58"/>
      <c r="BMH58"/>
      <c r="BMI58"/>
      <c r="BMJ58"/>
      <c r="BMK58"/>
      <c r="BML58"/>
      <c r="BMM58"/>
      <c r="BMN58"/>
      <c r="BMO58"/>
      <c r="BMP58"/>
      <c r="BMQ58"/>
      <c r="BMR58"/>
      <c r="BMS58"/>
      <c r="BMT58"/>
      <c r="BMU58"/>
      <c r="BMV58"/>
      <c r="BMW58"/>
      <c r="BMX58"/>
      <c r="BMY58"/>
      <c r="BMZ58"/>
      <c r="BNA58"/>
      <c r="BNB58"/>
      <c r="BNC58"/>
      <c r="BND58"/>
      <c r="BNE58"/>
      <c r="BNF58"/>
      <c r="BNG58"/>
      <c r="BNH58"/>
      <c r="BNI58"/>
      <c r="BNJ58"/>
      <c r="BNK58"/>
      <c r="BNL58"/>
      <c r="BNM58"/>
      <c r="BNN58"/>
      <c r="BNO58"/>
      <c r="BNP58"/>
      <c r="BNQ58"/>
      <c r="BNR58"/>
      <c r="BNS58"/>
      <c r="BNT58"/>
      <c r="BNU58"/>
      <c r="BNV58"/>
      <c r="BNW58"/>
      <c r="BNX58"/>
      <c r="BNY58"/>
      <c r="BNZ58"/>
      <c r="BOA58"/>
      <c r="BOB58"/>
      <c r="BOC58"/>
      <c r="BOD58"/>
      <c r="BOE58"/>
      <c r="BOF58"/>
      <c r="BOG58"/>
      <c r="BOH58"/>
      <c r="BOI58"/>
      <c r="BOJ58"/>
      <c r="BOK58"/>
      <c r="BOL58"/>
      <c r="BOM58"/>
      <c r="BON58"/>
      <c r="BOO58"/>
      <c r="BOP58"/>
      <c r="BOQ58"/>
      <c r="BOR58"/>
      <c r="BOS58"/>
      <c r="BOT58"/>
      <c r="BOU58"/>
      <c r="BOV58"/>
      <c r="BOW58"/>
      <c r="BOX58"/>
      <c r="BOY58"/>
      <c r="BOZ58"/>
      <c r="BPA58"/>
      <c r="BPB58"/>
      <c r="BPC58"/>
      <c r="BPD58"/>
      <c r="BPE58"/>
      <c r="BPF58"/>
      <c r="BPG58"/>
      <c r="BPH58"/>
      <c r="BPI58"/>
      <c r="BPJ58"/>
      <c r="BPK58"/>
      <c r="BPL58"/>
      <c r="BPM58"/>
      <c r="BPN58"/>
      <c r="BPO58"/>
      <c r="BPP58"/>
      <c r="BPQ58"/>
      <c r="BPR58"/>
      <c r="BPS58"/>
      <c r="BPT58"/>
      <c r="BPU58"/>
      <c r="BPV58"/>
      <c r="BPW58"/>
      <c r="BPX58"/>
      <c r="BPY58"/>
      <c r="BPZ58"/>
      <c r="BQA58"/>
      <c r="BQB58"/>
      <c r="BQC58"/>
      <c r="BQD58"/>
      <c r="BQE58"/>
      <c r="BQF58"/>
      <c r="BQG58"/>
      <c r="BQH58"/>
      <c r="BQI58"/>
      <c r="BQJ58"/>
      <c r="BQK58"/>
      <c r="BQL58"/>
      <c r="BQM58"/>
      <c r="BQN58"/>
      <c r="BQO58"/>
      <c r="BQP58"/>
      <c r="BQQ58"/>
      <c r="BQR58"/>
      <c r="BQS58"/>
      <c r="BQT58"/>
      <c r="BQU58"/>
      <c r="BQV58"/>
      <c r="BQW58"/>
      <c r="BQX58"/>
      <c r="BQY58"/>
      <c r="BQZ58"/>
      <c r="BRA58"/>
      <c r="BRB58"/>
      <c r="BRC58"/>
      <c r="BRD58"/>
      <c r="BRE58"/>
      <c r="BRF58"/>
      <c r="BRG58"/>
      <c r="BRH58"/>
      <c r="BRI58"/>
      <c r="BRJ58"/>
      <c r="BRK58"/>
      <c r="BRL58"/>
      <c r="BRM58"/>
      <c r="BRN58"/>
      <c r="BRO58"/>
      <c r="BRP58"/>
      <c r="BRQ58"/>
      <c r="BRR58"/>
      <c r="BRS58"/>
      <c r="BRT58"/>
      <c r="BRU58"/>
      <c r="BRV58"/>
      <c r="BRW58"/>
      <c r="BRX58"/>
      <c r="BRY58"/>
      <c r="BRZ58"/>
      <c r="BSA58"/>
      <c r="BSB58"/>
      <c r="BSC58"/>
      <c r="BSD58"/>
      <c r="BSE58"/>
      <c r="BSF58"/>
      <c r="BSG58"/>
      <c r="BSH58"/>
      <c r="BSI58"/>
      <c r="BSJ58"/>
      <c r="BSK58"/>
      <c r="BSL58"/>
      <c r="BSM58"/>
      <c r="BSN58"/>
      <c r="BSO58"/>
      <c r="BSP58"/>
      <c r="BSQ58"/>
      <c r="BSR58"/>
      <c r="BSS58"/>
      <c r="BST58"/>
      <c r="BSU58"/>
      <c r="BSV58"/>
      <c r="BSW58"/>
      <c r="BSX58"/>
      <c r="BSY58"/>
      <c r="BSZ58"/>
      <c r="BTA58"/>
      <c r="BTB58"/>
      <c r="BTC58"/>
      <c r="BTD58"/>
      <c r="BTE58"/>
      <c r="BTF58"/>
      <c r="BTG58"/>
      <c r="BTH58"/>
      <c r="BTI58"/>
      <c r="BTJ58"/>
      <c r="BTK58"/>
      <c r="BTL58"/>
      <c r="BTM58"/>
      <c r="BTN58"/>
      <c r="BTO58"/>
      <c r="BTP58"/>
      <c r="BTQ58"/>
      <c r="BTR58"/>
      <c r="BTS58"/>
      <c r="BTT58"/>
      <c r="BTU58"/>
      <c r="BTV58"/>
      <c r="BTW58"/>
      <c r="BTX58"/>
      <c r="BTY58"/>
      <c r="BTZ58"/>
      <c r="BUA58"/>
      <c r="BUB58"/>
      <c r="BUC58"/>
      <c r="BUD58"/>
      <c r="BUE58"/>
      <c r="BUF58"/>
      <c r="BUG58"/>
      <c r="BUH58"/>
      <c r="BUI58"/>
      <c r="BUJ58"/>
      <c r="BUK58"/>
      <c r="BUL58"/>
      <c r="BUM58"/>
      <c r="BUN58"/>
      <c r="BUO58"/>
      <c r="BUP58"/>
      <c r="BUQ58"/>
      <c r="BUR58"/>
      <c r="BUS58"/>
      <c r="BUT58"/>
      <c r="BUU58"/>
      <c r="BUV58"/>
      <c r="BUW58"/>
      <c r="BUX58"/>
      <c r="BUY58"/>
      <c r="BUZ58"/>
      <c r="BVA58"/>
      <c r="BVB58"/>
      <c r="BVC58"/>
      <c r="BVD58"/>
      <c r="BVE58"/>
      <c r="BVF58"/>
      <c r="BVG58"/>
      <c r="BVH58"/>
      <c r="BVI58"/>
      <c r="BVJ58"/>
      <c r="BVK58"/>
      <c r="BVL58"/>
      <c r="BVM58"/>
      <c r="BVN58"/>
      <c r="BVO58"/>
      <c r="BVP58"/>
      <c r="BVQ58"/>
      <c r="BVR58"/>
      <c r="BVS58"/>
      <c r="BVT58"/>
      <c r="BVU58"/>
      <c r="BVV58"/>
      <c r="BVW58"/>
      <c r="BVX58"/>
      <c r="BVY58"/>
      <c r="BVZ58"/>
      <c r="BWA58"/>
      <c r="BWB58"/>
      <c r="BWC58"/>
      <c r="BWD58"/>
      <c r="BWE58"/>
      <c r="BWF58"/>
      <c r="BWG58"/>
      <c r="BWH58"/>
      <c r="BWI58"/>
      <c r="BWJ58"/>
      <c r="BWK58"/>
      <c r="BWL58"/>
      <c r="BWM58"/>
      <c r="BWN58"/>
      <c r="BWO58"/>
      <c r="BWP58"/>
      <c r="BWQ58"/>
      <c r="BWR58"/>
      <c r="BWS58"/>
      <c r="BWT58"/>
      <c r="BWU58"/>
      <c r="BWV58"/>
      <c r="BWW58"/>
      <c r="BWX58"/>
      <c r="BWY58"/>
      <c r="BWZ58"/>
      <c r="BXA58"/>
      <c r="BXB58"/>
      <c r="BXC58"/>
      <c r="BXD58"/>
      <c r="BXE58"/>
      <c r="BXF58"/>
      <c r="BXG58"/>
      <c r="BXH58"/>
      <c r="BXI58"/>
      <c r="BXJ58"/>
      <c r="BXK58"/>
      <c r="BXL58"/>
      <c r="BXM58"/>
      <c r="BXN58"/>
      <c r="BXO58"/>
      <c r="BXP58"/>
      <c r="BXQ58"/>
      <c r="BXR58"/>
      <c r="BXS58"/>
      <c r="BXT58"/>
      <c r="BXU58"/>
      <c r="BXV58"/>
      <c r="BXW58"/>
      <c r="BXX58"/>
      <c r="BXY58"/>
      <c r="BXZ58"/>
      <c r="BYA58"/>
      <c r="BYB58"/>
      <c r="BYC58"/>
      <c r="BYD58"/>
      <c r="BYE58"/>
      <c r="BYF58"/>
      <c r="BYG58"/>
    </row>
    <row r="59" spans="1:2009" ht="12.75" customHeight="1" thickBot="1" x14ac:dyDescent="0.3">
      <c r="A59" s="81"/>
      <c r="B59" s="81"/>
      <c r="C59" s="142"/>
      <c r="D59" s="142"/>
      <c r="E59" s="142"/>
      <c r="F59" s="142"/>
      <c r="G59" s="515"/>
    </row>
    <row r="60" spans="1:2009" s="89" customFormat="1" ht="24.95" customHeight="1" thickBot="1" x14ac:dyDescent="0.3">
      <c r="A60" s="406" t="s">
        <v>305</v>
      </c>
      <c r="B60" s="310"/>
      <c r="C60" s="311">
        <v>1355.12</v>
      </c>
      <c r="D60" s="311"/>
      <c r="E60" s="311"/>
      <c r="F60" s="311"/>
      <c r="G60" s="646">
        <f>SUM(C60:F60)</f>
        <v>1355.12</v>
      </c>
      <c r="H60"/>
      <c r="I60" s="21"/>
      <c r="J60" s="1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c r="AMK60"/>
      <c r="AML60"/>
      <c r="AMM60"/>
      <c r="AMN60"/>
      <c r="AMO60"/>
      <c r="AMP60"/>
      <c r="AMQ60"/>
      <c r="AMR60"/>
      <c r="AMS60"/>
      <c r="AMT60"/>
      <c r="AMU60"/>
      <c r="AMV60"/>
      <c r="AMW60"/>
      <c r="AMX60"/>
      <c r="AMY60"/>
      <c r="AMZ60"/>
      <c r="ANA60"/>
      <c r="ANB60"/>
      <c r="ANC60"/>
      <c r="AND60"/>
      <c r="ANE60"/>
      <c r="ANF60"/>
      <c r="ANG60"/>
      <c r="ANH60"/>
      <c r="ANI60"/>
      <c r="ANJ60"/>
      <c r="ANK60"/>
      <c r="ANL60"/>
      <c r="ANM60"/>
      <c r="ANN60"/>
      <c r="ANO60"/>
      <c r="ANP60"/>
      <c r="ANQ60"/>
      <c r="ANR60"/>
      <c r="ANS60"/>
      <c r="ANT60"/>
      <c r="ANU60"/>
      <c r="ANV60"/>
      <c r="ANW60"/>
      <c r="ANX60"/>
      <c r="ANY60"/>
      <c r="ANZ60"/>
      <c r="AOA60"/>
      <c r="AOB60"/>
      <c r="AOC60"/>
      <c r="AOD60"/>
      <c r="AOE60"/>
      <c r="AOF60"/>
      <c r="AOG60"/>
      <c r="AOH60"/>
      <c r="AOI60"/>
      <c r="AOJ60"/>
      <c r="AOK60"/>
      <c r="AOL60"/>
      <c r="AOM60"/>
      <c r="AON60"/>
      <c r="AOO60"/>
      <c r="AOP60"/>
      <c r="AOQ60"/>
      <c r="AOR60"/>
      <c r="AOS60"/>
      <c r="AOT60"/>
      <c r="AOU60"/>
      <c r="AOV60"/>
      <c r="AOW60"/>
      <c r="AOX60"/>
      <c r="AOY60"/>
      <c r="AOZ60"/>
      <c r="APA60"/>
      <c r="APB60"/>
      <c r="APC60"/>
      <c r="APD60"/>
      <c r="APE60"/>
      <c r="APF60"/>
      <c r="APG60"/>
      <c r="APH60"/>
      <c r="API60"/>
      <c r="APJ60"/>
      <c r="APK60"/>
      <c r="APL60"/>
      <c r="APM60"/>
      <c r="APN60"/>
      <c r="APO60"/>
      <c r="APP60"/>
      <c r="APQ60"/>
      <c r="APR60"/>
      <c r="APS60"/>
      <c r="APT60"/>
      <c r="APU60"/>
      <c r="APV60"/>
      <c r="APW60"/>
      <c r="APX60"/>
      <c r="APY60"/>
      <c r="APZ60"/>
      <c r="AQA60"/>
      <c r="AQB60"/>
      <c r="AQC60"/>
      <c r="AQD60"/>
      <c r="AQE60"/>
      <c r="AQF60"/>
      <c r="AQG60"/>
      <c r="AQH60"/>
      <c r="AQI60"/>
      <c r="AQJ60"/>
      <c r="AQK60"/>
      <c r="AQL60"/>
      <c r="AQM60"/>
      <c r="AQN60"/>
      <c r="AQO60"/>
      <c r="AQP60"/>
      <c r="AQQ60"/>
      <c r="AQR60"/>
      <c r="AQS60"/>
      <c r="AQT60"/>
      <c r="AQU60"/>
      <c r="AQV60"/>
      <c r="AQW60"/>
      <c r="AQX60"/>
      <c r="AQY60"/>
      <c r="AQZ60"/>
      <c r="ARA60"/>
      <c r="ARB60"/>
      <c r="ARC60"/>
      <c r="ARD60"/>
      <c r="ARE60"/>
      <c r="ARF60"/>
      <c r="ARG60"/>
      <c r="ARH60"/>
      <c r="ARI60"/>
      <c r="ARJ60"/>
      <c r="ARK60"/>
      <c r="ARL60"/>
      <c r="ARM60"/>
      <c r="ARN60"/>
      <c r="ARO60"/>
      <c r="ARP60"/>
      <c r="ARQ60"/>
      <c r="ARR60"/>
      <c r="ARS60"/>
      <c r="ART60"/>
      <c r="ARU60"/>
      <c r="ARV60"/>
      <c r="ARW60"/>
      <c r="ARX60"/>
      <c r="ARY60"/>
      <c r="ARZ60"/>
      <c r="ASA60"/>
      <c r="ASB60"/>
      <c r="ASC60"/>
      <c r="ASD60"/>
      <c r="ASE60"/>
      <c r="ASF60"/>
      <c r="ASG60"/>
      <c r="ASH60"/>
      <c r="ASI60"/>
      <c r="ASJ60"/>
      <c r="ASK60"/>
      <c r="ASL60"/>
      <c r="ASM60"/>
      <c r="ASN60"/>
      <c r="ASO60"/>
      <c r="ASP60"/>
      <c r="ASQ60"/>
      <c r="ASR60"/>
      <c r="ASS60"/>
      <c r="AST60"/>
      <c r="ASU60"/>
      <c r="ASV60"/>
      <c r="ASW60"/>
      <c r="ASX60"/>
      <c r="ASY60"/>
      <c r="ASZ60"/>
      <c r="ATA60"/>
      <c r="ATB60"/>
      <c r="ATC60"/>
      <c r="ATD60"/>
      <c r="ATE60"/>
      <c r="ATF60"/>
      <c r="ATG60"/>
      <c r="ATH60"/>
      <c r="ATI60"/>
      <c r="ATJ60"/>
      <c r="ATK60"/>
      <c r="ATL60"/>
      <c r="ATM60"/>
      <c r="ATN60"/>
      <c r="ATO60"/>
      <c r="ATP60"/>
      <c r="ATQ60"/>
      <c r="ATR60"/>
      <c r="ATS60"/>
      <c r="ATT60"/>
      <c r="ATU60"/>
      <c r="ATV60"/>
      <c r="ATW60"/>
      <c r="ATX60"/>
      <c r="ATY60"/>
      <c r="ATZ60"/>
      <c r="AUA60"/>
      <c r="AUB60"/>
      <c r="AUC60"/>
      <c r="AUD60"/>
      <c r="AUE60"/>
      <c r="AUF60"/>
      <c r="AUG60"/>
      <c r="AUH60"/>
      <c r="AUI60"/>
      <c r="AUJ60"/>
      <c r="AUK60"/>
      <c r="AUL60"/>
      <c r="AUM60"/>
      <c r="AUN60"/>
      <c r="AUO60"/>
      <c r="AUP60"/>
      <c r="AUQ60"/>
      <c r="AUR60"/>
      <c r="AUS60"/>
      <c r="AUT60"/>
      <c r="AUU60"/>
      <c r="AUV60"/>
      <c r="AUW60"/>
      <c r="AUX60"/>
      <c r="AUY60"/>
      <c r="AUZ60"/>
      <c r="AVA60"/>
      <c r="AVB60"/>
      <c r="AVC60"/>
      <c r="AVD60"/>
      <c r="AVE60"/>
      <c r="AVF60"/>
      <c r="AVG60"/>
      <c r="AVH60"/>
      <c r="AVI60"/>
      <c r="AVJ60"/>
      <c r="AVK60"/>
      <c r="AVL60"/>
      <c r="AVM60"/>
      <c r="AVN60"/>
      <c r="AVO60"/>
      <c r="AVP60"/>
      <c r="AVQ60"/>
      <c r="AVR60"/>
      <c r="AVS60"/>
      <c r="AVT60"/>
      <c r="AVU60"/>
      <c r="AVV60"/>
      <c r="AVW60"/>
      <c r="AVX60"/>
      <c r="AVY60"/>
      <c r="AVZ60"/>
      <c r="AWA60"/>
      <c r="AWB60"/>
      <c r="AWC60"/>
      <c r="AWD60"/>
      <c r="AWE60"/>
      <c r="AWF60"/>
      <c r="AWG60"/>
      <c r="AWH60"/>
      <c r="AWI60"/>
      <c r="AWJ60"/>
      <c r="AWK60"/>
      <c r="AWL60"/>
      <c r="AWM60"/>
      <c r="AWN60"/>
      <c r="AWO60"/>
      <c r="AWP60"/>
      <c r="AWQ60"/>
      <c r="AWR60"/>
      <c r="AWS60"/>
      <c r="AWT60"/>
      <c r="AWU60"/>
      <c r="AWV60"/>
      <c r="AWW60"/>
      <c r="AWX60"/>
      <c r="AWY60"/>
      <c r="AWZ60"/>
      <c r="AXA60"/>
      <c r="AXB60"/>
      <c r="AXC60"/>
      <c r="AXD60"/>
      <c r="AXE60"/>
      <c r="AXF60"/>
      <c r="AXG60"/>
      <c r="AXH60"/>
      <c r="AXI60"/>
      <c r="AXJ60"/>
      <c r="AXK60"/>
      <c r="AXL60"/>
      <c r="AXM60"/>
      <c r="AXN60"/>
      <c r="AXO60"/>
      <c r="AXP60"/>
      <c r="AXQ60"/>
      <c r="AXR60"/>
      <c r="AXS60"/>
      <c r="AXT60"/>
      <c r="AXU60"/>
      <c r="AXV60"/>
      <c r="AXW60"/>
      <c r="AXX60"/>
      <c r="AXY60"/>
      <c r="AXZ60"/>
      <c r="AYA60"/>
      <c r="AYB60"/>
      <c r="AYC60"/>
      <c r="AYD60"/>
      <c r="AYE60"/>
      <c r="AYF60"/>
      <c r="AYG60"/>
      <c r="AYH60"/>
      <c r="AYI60"/>
      <c r="AYJ60"/>
      <c r="AYK60"/>
      <c r="AYL60"/>
      <c r="AYM60"/>
      <c r="AYN60"/>
      <c r="AYO60"/>
      <c r="AYP60"/>
      <c r="AYQ60"/>
      <c r="AYR60"/>
      <c r="AYS60"/>
      <c r="AYT60"/>
      <c r="AYU60"/>
      <c r="AYV60"/>
      <c r="AYW60"/>
      <c r="AYX60"/>
      <c r="AYY60"/>
      <c r="AYZ60"/>
      <c r="AZA60"/>
      <c r="AZB60"/>
      <c r="AZC60"/>
      <c r="AZD60"/>
      <c r="AZE60"/>
      <c r="AZF60"/>
      <c r="AZG60"/>
      <c r="AZH60"/>
      <c r="AZI60"/>
      <c r="AZJ60"/>
      <c r="AZK60"/>
      <c r="AZL60"/>
      <c r="AZM60"/>
      <c r="AZN60"/>
      <c r="AZO60"/>
      <c r="AZP60"/>
      <c r="AZQ60"/>
      <c r="AZR60"/>
      <c r="AZS60"/>
      <c r="AZT60"/>
      <c r="AZU60"/>
      <c r="AZV60"/>
      <c r="AZW60"/>
      <c r="AZX60"/>
      <c r="AZY60"/>
      <c r="AZZ60"/>
      <c r="BAA60"/>
      <c r="BAB60"/>
      <c r="BAC60"/>
      <c r="BAD60"/>
      <c r="BAE60"/>
      <c r="BAF60"/>
      <c r="BAG60"/>
      <c r="BAH60"/>
      <c r="BAI60"/>
      <c r="BAJ60"/>
      <c r="BAK60"/>
      <c r="BAL60"/>
      <c r="BAM60"/>
      <c r="BAN60"/>
      <c r="BAO60"/>
      <c r="BAP60"/>
      <c r="BAQ60"/>
      <c r="BAR60"/>
      <c r="BAS60"/>
      <c r="BAT60"/>
      <c r="BAU60"/>
      <c r="BAV60"/>
      <c r="BAW60"/>
      <c r="BAX60"/>
      <c r="BAY60"/>
      <c r="BAZ60"/>
      <c r="BBA60"/>
      <c r="BBB60"/>
      <c r="BBC60"/>
      <c r="BBD60"/>
      <c r="BBE60"/>
      <c r="BBF60"/>
      <c r="BBG60"/>
      <c r="BBH60"/>
      <c r="BBI60"/>
      <c r="BBJ60"/>
      <c r="BBK60"/>
      <c r="BBL60"/>
      <c r="BBM60"/>
      <c r="BBN60"/>
      <c r="BBO60"/>
      <c r="BBP60"/>
      <c r="BBQ60"/>
      <c r="BBR60"/>
      <c r="BBS60"/>
      <c r="BBT60"/>
      <c r="BBU60"/>
      <c r="BBV60"/>
      <c r="BBW60"/>
      <c r="BBX60"/>
      <c r="BBY60"/>
      <c r="BBZ60"/>
      <c r="BCA60"/>
      <c r="BCB60"/>
      <c r="BCC60"/>
      <c r="BCD60"/>
      <c r="BCE60"/>
      <c r="BCF60"/>
      <c r="BCG60"/>
      <c r="BCH60"/>
      <c r="BCI60"/>
      <c r="BCJ60"/>
      <c r="BCK60"/>
      <c r="BCL60"/>
      <c r="BCM60"/>
      <c r="BCN60"/>
      <c r="BCO60"/>
      <c r="BCP60"/>
      <c r="BCQ60"/>
      <c r="BCR60"/>
      <c r="BCS60"/>
      <c r="BCT60"/>
      <c r="BCU60"/>
      <c r="BCV60"/>
      <c r="BCW60"/>
      <c r="BCX60"/>
      <c r="BCY60"/>
      <c r="BCZ60"/>
      <c r="BDA60"/>
      <c r="BDB60"/>
      <c r="BDC60"/>
      <c r="BDD60"/>
      <c r="BDE60"/>
      <c r="BDF60"/>
      <c r="BDG60"/>
      <c r="BDH60"/>
      <c r="BDI60"/>
      <c r="BDJ60"/>
      <c r="BDK60"/>
      <c r="BDL60"/>
      <c r="BDM60"/>
      <c r="BDN60"/>
      <c r="BDO60"/>
      <c r="BDP60"/>
      <c r="BDQ60"/>
      <c r="BDR60"/>
      <c r="BDS60"/>
      <c r="BDT60"/>
      <c r="BDU60"/>
      <c r="BDV60"/>
      <c r="BDW60"/>
      <c r="BDX60"/>
      <c r="BDY60"/>
      <c r="BDZ60"/>
      <c r="BEA60"/>
      <c r="BEB60"/>
      <c r="BEC60"/>
      <c r="BED60"/>
      <c r="BEE60"/>
      <c r="BEF60"/>
      <c r="BEG60"/>
      <c r="BEH60"/>
      <c r="BEI60"/>
      <c r="BEJ60"/>
      <c r="BEK60"/>
      <c r="BEL60"/>
      <c r="BEM60"/>
      <c r="BEN60"/>
      <c r="BEO60"/>
      <c r="BEP60"/>
      <c r="BEQ60"/>
      <c r="BER60"/>
      <c r="BES60"/>
      <c r="BET60"/>
      <c r="BEU60"/>
      <c r="BEV60"/>
      <c r="BEW60"/>
      <c r="BEX60"/>
      <c r="BEY60"/>
      <c r="BEZ60"/>
      <c r="BFA60"/>
      <c r="BFB60"/>
      <c r="BFC60"/>
      <c r="BFD60"/>
      <c r="BFE60"/>
      <c r="BFF60"/>
      <c r="BFG60"/>
      <c r="BFH60"/>
      <c r="BFI60"/>
      <c r="BFJ60"/>
      <c r="BFK60"/>
      <c r="BFL60"/>
      <c r="BFM60"/>
      <c r="BFN60"/>
      <c r="BFO60"/>
      <c r="BFP60"/>
      <c r="BFQ60"/>
      <c r="BFR60"/>
      <c r="BFS60"/>
      <c r="BFT60"/>
      <c r="BFU60"/>
      <c r="BFV60"/>
      <c r="BFW60"/>
      <c r="BFX60"/>
      <c r="BFY60"/>
      <c r="BFZ60"/>
      <c r="BGA60"/>
      <c r="BGB60"/>
      <c r="BGC60"/>
      <c r="BGD60"/>
      <c r="BGE60"/>
      <c r="BGF60"/>
      <c r="BGG60"/>
      <c r="BGH60"/>
      <c r="BGI60"/>
      <c r="BGJ60"/>
      <c r="BGK60"/>
      <c r="BGL60"/>
      <c r="BGM60"/>
      <c r="BGN60"/>
      <c r="BGO60"/>
      <c r="BGP60"/>
      <c r="BGQ60"/>
      <c r="BGR60"/>
      <c r="BGS60"/>
      <c r="BGT60"/>
      <c r="BGU60"/>
      <c r="BGV60"/>
      <c r="BGW60"/>
      <c r="BGX60"/>
      <c r="BGY60"/>
      <c r="BGZ60"/>
      <c r="BHA60"/>
      <c r="BHB60"/>
      <c r="BHC60"/>
      <c r="BHD60"/>
      <c r="BHE60"/>
      <c r="BHF60"/>
      <c r="BHG60"/>
      <c r="BHH60"/>
      <c r="BHI60"/>
      <c r="BHJ60"/>
      <c r="BHK60"/>
      <c r="BHL60"/>
      <c r="BHM60"/>
      <c r="BHN60"/>
      <c r="BHO60"/>
      <c r="BHP60"/>
      <c r="BHQ60"/>
      <c r="BHR60"/>
      <c r="BHS60"/>
      <c r="BHT60"/>
      <c r="BHU60"/>
      <c r="BHV60"/>
      <c r="BHW60"/>
      <c r="BHX60"/>
      <c r="BHY60"/>
      <c r="BHZ60"/>
      <c r="BIA60"/>
      <c r="BIB60"/>
      <c r="BIC60"/>
      <c r="BID60"/>
      <c r="BIE60"/>
      <c r="BIF60"/>
      <c r="BIG60"/>
      <c r="BIH60"/>
      <c r="BII60"/>
      <c r="BIJ60"/>
      <c r="BIK60"/>
      <c r="BIL60"/>
      <c r="BIM60"/>
      <c r="BIN60"/>
      <c r="BIO60"/>
      <c r="BIP60"/>
      <c r="BIQ60"/>
      <c r="BIR60"/>
      <c r="BIS60"/>
      <c r="BIT60"/>
      <c r="BIU60"/>
      <c r="BIV60"/>
      <c r="BIW60"/>
      <c r="BIX60"/>
      <c r="BIY60"/>
      <c r="BIZ60"/>
      <c r="BJA60"/>
      <c r="BJB60"/>
      <c r="BJC60"/>
      <c r="BJD60"/>
      <c r="BJE60"/>
      <c r="BJF60"/>
      <c r="BJG60"/>
      <c r="BJH60"/>
      <c r="BJI60"/>
      <c r="BJJ60"/>
      <c r="BJK60"/>
      <c r="BJL60"/>
      <c r="BJM60"/>
      <c r="BJN60"/>
      <c r="BJO60"/>
      <c r="BJP60"/>
      <c r="BJQ60"/>
      <c r="BJR60"/>
      <c r="BJS60"/>
      <c r="BJT60"/>
      <c r="BJU60"/>
      <c r="BJV60"/>
      <c r="BJW60"/>
      <c r="BJX60"/>
      <c r="BJY60"/>
      <c r="BJZ60"/>
      <c r="BKA60"/>
      <c r="BKB60"/>
      <c r="BKC60"/>
      <c r="BKD60"/>
      <c r="BKE60"/>
      <c r="BKF60"/>
      <c r="BKG60"/>
      <c r="BKH60"/>
      <c r="BKI60"/>
      <c r="BKJ60"/>
      <c r="BKK60"/>
      <c r="BKL60"/>
      <c r="BKM60"/>
      <c r="BKN60"/>
      <c r="BKO60"/>
      <c r="BKP60"/>
      <c r="BKQ60"/>
      <c r="BKR60"/>
      <c r="BKS60"/>
      <c r="BKT60"/>
      <c r="BKU60"/>
      <c r="BKV60"/>
      <c r="BKW60"/>
      <c r="BKX60"/>
      <c r="BKY60"/>
      <c r="BKZ60"/>
      <c r="BLA60"/>
      <c r="BLB60"/>
      <c r="BLC60"/>
      <c r="BLD60"/>
      <c r="BLE60"/>
      <c r="BLF60"/>
      <c r="BLG60"/>
      <c r="BLH60"/>
      <c r="BLI60"/>
      <c r="BLJ60"/>
      <c r="BLK60"/>
      <c r="BLL60"/>
      <c r="BLM60"/>
      <c r="BLN60"/>
      <c r="BLO60"/>
      <c r="BLP60"/>
      <c r="BLQ60"/>
      <c r="BLR60"/>
      <c r="BLS60"/>
      <c r="BLT60"/>
      <c r="BLU60"/>
      <c r="BLV60"/>
      <c r="BLW60"/>
      <c r="BLX60"/>
      <c r="BLY60"/>
      <c r="BLZ60"/>
      <c r="BMA60"/>
      <c r="BMB60"/>
      <c r="BMC60"/>
      <c r="BMD60"/>
      <c r="BME60"/>
      <c r="BMF60"/>
      <c r="BMG60"/>
      <c r="BMH60"/>
      <c r="BMI60"/>
      <c r="BMJ60"/>
      <c r="BMK60"/>
      <c r="BML60"/>
      <c r="BMM60"/>
      <c r="BMN60"/>
      <c r="BMO60"/>
      <c r="BMP60"/>
      <c r="BMQ60"/>
      <c r="BMR60"/>
      <c r="BMS60"/>
      <c r="BMT60"/>
      <c r="BMU60"/>
      <c r="BMV60"/>
      <c r="BMW60"/>
      <c r="BMX60"/>
      <c r="BMY60"/>
      <c r="BMZ60"/>
      <c r="BNA60"/>
      <c r="BNB60"/>
      <c r="BNC60"/>
      <c r="BND60"/>
      <c r="BNE60"/>
      <c r="BNF60"/>
      <c r="BNG60"/>
      <c r="BNH60"/>
      <c r="BNI60"/>
      <c r="BNJ60"/>
      <c r="BNK60"/>
      <c r="BNL60"/>
      <c r="BNM60"/>
      <c r="BNN60"/>
      <c r="BNO60"/>
      <c r="BNP60"/>
      <c r="BNQ60"/>
      <c r="BNR60"/>
      <c r="BNS60"/>
      <c r="BNT60"/>
      <c r="BNU60"/>
      <c r="BNV60"/>
      <c r="BNW60"/>
      <c r="BNX60"/>
      <c r="BNY60"/>
      <c r="BNZ60"/>
      <c r="BOA60"/>
      <c r="BOB60"/>
      <c r="BOC60"/>
      <c r="BOD60"/>
      <c r="BOE60"/>
      <c r="BOF60"/>
      <c r="BOG60"/>
      <c r="BOH60"/>
      <c r="BOI60"/>
      <c r="BOJ60"/>
      <c r="BOK60"/>
      <c r="BOL60"/>
      <c r="BOM60"/>
      <c r="BON60"/>
      <c r="BOO60"/>
      <c r="BOP60"/>
      <c r="BOQ60"/>
      <c r="BOR60"/>
      <c r="BOS60"/>
      <c r="BOT60"/>
      <c r="BOU60"/>
      <c r="BOV60"/>
      <c r="BOW60"/>
      <c r="BOX60"/>
      <c r="BOY60"/>
      <c r="BOZ60"/>
      <c r="BPA60"/>
      <c r="BPB60"/>
      <c r="BPC60"/>
      <c r="BPD60"/>
      <c r="BPE60"/>
      <c r="BPF60"/>
      <c r="BPG60"/>
      <c r="BPH60"/>
      <c r="BPI60"/>
      <c r="BPJ60"/>
      <c r="BPK60"/>
      <c r="BPL60"/>
      <c r="BPM60"/>
      <c r="BPN60"/>
      <c r="BPO60"/>
      <c r="BPP60"/>
      <c r="BPQ60"/>
      <c r="BPR60"/>
      <c r="BPS60"/>
      <c r="BPT60"/>
      <c r="BPU60"/>
      <c r="BPV60"/>
      <c r="BPW60"/>
      <c r="BPX60"/>
      <c r="BPY60"/>
      <c r="BPZ60"/>
      <c r="BQA60"/>
      <c r="BQB60"/>
      <c r="BQC60"/>
      <c r="BQD60"/>
      <c r="BQE60"/>
      <c r="BQF60"/>
      <c r="BQG60"/>
      <c r="BQH60"/>
      <c r="BQI60"/>
      <c r="BQJ60"/>
      <c r="BQK60"/>
      <c r="BQL60"/>
      <c r="BQM60"/>
      <c r="BQN60"/>
      <c r="BQO60"/>
      <c r="BQP60"/>
      <c r="BQQ60"/>
      <c r="BQR60"/>
      <c r="BQS60"/>
      <c r="BQT60"/>
      <c r="BQU60"/>
      <c r="BQV60"/>
      <c r="BQW60"/>
      <c r="BQX60"/>
      <c r="BQY60"/>
      <c r="BQZ60"/>
      <c r="BRA60"/>
      <c r="BRB60"/>
      <c r="BRC60"/>
      <c r="BRD60"/>
      <c r="BRE60"/>
      <c r="BRF60"/>
      <c r="BRG60"/>
      <c r="BRH60"/>
      <c r="BRI60"/>
      <c r="BRJ60"/>
      <c r="BRK60"/>
      <c r="BRL60"/>
      <c r="BRM60"/>
      <c r="BRN60"/>
      <c r="BRO60"/>
      <c r="BRP60"/>
      <c r="BRQ60"/>
      <c r="BRR60"/>
      <c r="BRS60"/>
      <c r="BRT60"/>
      <c r="BRU60"/>
      <c r="BRV60"/>
      <c r="BRW60"/>
      <c r="BRX60"/>
      <c r="BRY60"/>
      <c r="BRZ60"/>
      <c r="BSA60"/>
      <c r="BSB60"/>
      <c r="BSC60"/>
      <c r="BSD60"/>
      <c r="BSE60"/>
      <c r="BSF60"/>
      <c r="BSG60"/>
      <c r="BSH60"/>
      <c r="BSI60"/>
      <c r="BSJ60"/>
      <c r="BSK60"/>
      <c r="BSL60"/>
      <c r="BSM60"/>
      <c r="BSN60"/>
      <c r="BSO60"/>
      <c r="BSP60"/>
      <c r="BSQ60"/>
      <c r="BSR60"/>
      <c r="BSS60"/>
      <c r="BST60"/>
      <c r="BSU60"/>
      <c r="BSV60"/>
      <c r="BSW60"/>
      <c r="BSX60"/>
      <c r="BSY60"/>
      <c r="BSZ60"/>
      <c r="BTA60"/>
      <c r="BTB60"/>
      <c r="BTC60"/>
      <c r="BTD60"/>
      <c r="BTE60"/>
      <c r="BTF60"/>
      <c r="BTG60"/>
      <c r="BTH60"/>
      <c r="BTI60"/>
      <c r="BTJ60"/>
      <c r="BTK60"/>
      <c r="BTL60"/>
      <c r="BTM60"/>
      <c r="BTN60"/>
      <c r="BTO60"/>
      <c r="BTP60"/>
      <c r="BTQ60"/>
      <c r="BTR60"/>
      <c r="BTS60"/>
      <c r="BTT60"/>
      <c r="BTU60"/>
      <c r="BTV60"/>
      <c r="BTW60"/>
      <c r="BTX60"/>
      <c r="BTY60"/>
      <c r="BTZ60"/>
      <c r="BUA60"/>
      <c r="BUB60"/>
      <c r="BUC60"/>
      <c r="BUD60"/>
      <c r="BUE60"/>
      <c r="BUF60"/>
      <c r="BUG60"/>
      <c r="BUH60"/>
      <c r="BUI60"/>
      <c r="BUJ60"/>
      <c r="BUK60"/>
      <c r="BUL60"/>
      <c r="BUM60"/>
      <c r="BUN60"/>
      <c r="BUO60"/>
      <c r="BUP60"/>
      <c r="BUQ60"/>
      <c r="BUR60"/>
      <c r="BUS60"/>
      <c r="BUT60"/>
      <c r="BUU60"/>
      <c r="BUV60"/>
      <c r="BUW60"/>
      <c r="BUX60"/>
      <c r="BUY60"/>
      <c r="BUZ60"/>
      <c r="BVA60"/>
      <c r="BVB60"/>
      <c r="BVC60"/>
      <c r="BVD60"/>
      <c r="BVE60"/>
      <c r="BVF60"/>
      <c r="BVG60"/>
      <c r="BVH60"/>
      <c r="BVI60"/>
      <c r="BVJ60"/>
      <c r="BVK60"/>
      <c r="BVL60"/>
      <c r="BVM60"/>
      <c r="BVN60"/>
      <c r="BVO60"/>
      <c r="BVP60"/>
      <c r="BVQ60"/>
      <c r="BVR60"/>
      <c r="BVS60"/>
      <c r="BVT60"/>
      <c r="BVU60"/>
      <c r="BVV60"/>
      <c r="BVW60"/>
      <c r="BVX60"/>
      <c r="BVY60"/>
      <c r="BVZ60"/>
      <c r="BWA60"/>
      <c r="BWB60"/>
      <c r="BWC60"/>
      <c r="BWD60"/>
      <c r="BWE60"/>
      <c r="BWF60"/>
      <c r="BWG60"/>
      <c r="BWH60"/>
      <c r="BWI60"/>
      <c r="BWJ60"/>
      <c r="BWK60"/>
      <c r="BWL60"/>
      <c r="BWM60"/>
      <c r="BWN60"/>
      <c r="BWO60"/>
      <c r="BWP60"/>
      <c r="BWQ60"/>
      <c r="BWR60"/>
      <c r="BWS60"/>
      <c r="BWT60"/>
      <c r="BWU60"/>
      <c r="BWV60"/>
      <c r="BWW60"/>
      <c r="BWX60"/>
      <c r="BWY60"/>
      <c r="BWZ60"/>
      <c r="BXA60"/>
      <c r="BXB60"/>
      <c r="BXC60"/>
      <c r="BXD60"/>
      <c r="BXE60"/>
      <c r="BXF60"/>
      <c r="BXG60"/>
      <c r="BXH60"/>
      <c r="BXI60"/>
      <c r="BXJ60"/>
      <c r="BXK60"/>
      <c r="BXL60"/>
      <c r="BXM60"/>
      <c r="BXN60"/>
      <c r="BXO60"/>
      <c r="BXP60"/>
      <c r="BXQ60"/>
      <c r="BXR60"/>
      <c r="BXS60"/>
      <c r="BXT60"/>
      <c r="BXU60"/>
      <c r="BXV60"/>
      <c r="BXW60"/>
      <c r="BXX60"/>
      <c r="BXY60"/>
      <c r="BXZ60"/>
      <c r="BYA60"/>
      <c r="BYB60"/>
      <c r="BYC60"/>
      <c r="BYD60"/>
      <c r="BYE60"/>
      <c r="BYF60"/>
      <c r="BYG60"/>
    </row>
    <row r="61" spans="1:2009" s="89" customFormat="1" ht="13.5" customHeight="1" thickBot="1" x14ac:dyDescent="0.3">
      <c r="A61" s="81"/>
      <c r="B61" s="81"/>
      <c r="C61" s="349"/>
      <c r="D61" s="142"/>
      <c r="E61" s="142"/>
      <c r="F61" s="142"/>
      <c r="G61" s="515"/>
      <c r="H61"/>
      <c r="I61" s="2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c r="AMK61"/>
      <c r="AML61"/>
      <c r="AMM61"/>
      <c r="AMN61"/>
      <c r="AMO61"/>
      <c r="AMP61"/>
      <c r="AMQ61"/>
      <c r="AMR61"/>
      <c r="AMS61"/>
      <c r="AMT61"/>
      <c r="AMU61"/>
      <c r="AMV61"/>
      <c r="AMW61"/>
      <c r="AMX61"/>
      <c r="AMY61"/>
      <c r="AMZ61"/>
      <c r="ANA61"/>
      <c r="ANB61"/>
      <c r="ANC61"/>
      <c r="AND61"/>
      <c r="ANE61"/>
      <c r="ANF61"/>
      <c r="ANG61"/>
      <c r="ANH61"/>
      <c r="ANI61"/>
      <c r="ANJ61"/>
      <c r="ANK61"/>
      <c r="ANL61"/>
      <c r="ANM61"/>
      <c r="ANN61"/>
      <c r="ANO61"/>
      <c r="ANP61"/>
      <c r="ANQ61"/>
      <c r="ANR61"/>
      <c r="ANS61"/>
      <c r="ANT61"/>
      <c r="ANU61"/>
      <c r="ANV61"/>
      <c r="ANW61"/>
      <c r="ANX61"/>
      <c r="ANY61"/>
      <c r="ANZ61"/>
      <c r="AOA61"/>
      <c r="AOB61"/>
      <c r="AOC61"/>
      <c r="AOD61"/>
      <c r="AOE61"/>
      <c r="AOF61"/>
      <c r="AOG61"/>
      <c r="AOH61"/>
      <c r="AOI61"/>
      <c r="AOJ61"/>
      <c r="AOK61"/>
      <c r="AOL61"/>
      <c r="AOM61"/>
      <c r="AON61"/>
      <c r="AOO61"/>
      <c r="AOP61"/>
      <c r="AOQ61"/>
      <c r="AOR61"/>
      <c r="AOS61"/>
      <c r="AOT61"/>
      <c r="AOU61"/>
      <c r="AOV61"/>
      <c r="AOW61"/>
      <c r="AOX61"/>
      <c r="AOY61"/>
      <c r="AOZ61"/>
      <c r="APA61"/>
      <c r="APB61"/>
      <c r="APC61"/>
      <c r="APD61"/>
      <c r="APE61"/>
      <c r="APF61"/>
      <c r="APG61"/>
      <c r="APH61"/>
      <c r="API61"/>
      <c r="APJ61"/>
      <c r="APK61"/>
      <c r="APL61"/>
      <c r="APM61"/>
      <c r="APN61"/>
      <c r="APO61"/>
      <c r="APP61"/>
      <c r="APQ61"/>
      <c r="APR61"/>
      <c r="APS61"/>
      <c r="APT61"/>
      <c r="APU61"/>
      <c r="APV61"/>
      <c r="APW61"/>
      <c r="APX61"/>
      <c r="APY61"/>
      <c r="APZ61"/>
      <c r="AQA61"/>
      <c r="AQB61"/>
      <c r="AQC61"/>
      <c r="AQD61"/>
      <c r="AQE61"/>
      <c r="AQF61"/>
      <c r="AQG61"/>
      <c r="AQH61"/>
      <c r="AQI61"/>
      <c r="AQJ61"/>
      <c r="AQK61"/>
      <c r="AQL61"/>
      <c r="AQM61"/>
      <c r="AQN61"/>
      <c r="AQO61"/>
      <c r="AQP61"/>
      <c r="AQQ61"/>
      <c r="AQR61"/>
      <c r="AQS61"/>
      <c r="AQT61"/>
      <c r="AQU61"/>
      <c r="AQV61"/>
      <c r="AQW61"/>
      <c r="AQX61"/>
      <c r="AQY61"/>
      <c r="AQZ61"/>
      <c r="ARA61"/>
      <c r="ARB61"/>
      <c r="ARC61"/>
      <c r="ARD61"/>
      <c r="ARE61"/>
      <c r="ARF61"/>
      <c r="ARG61"/>
      <c r="ARH61"/>
      <c r="ARI61"/>
      <c r="ARJ61"/>
      <c r="ARK61"/>
      <c r="ARL61"/>
      <c r="ARM61"/>
      <c r="ARN61"/>
      <c r="ARO61"/>
      <c r="ARP61"/>
      <c r="ARQ61"/>
      <c r="ARR61"/>
      <c r="ARS61"/>
      <c r="ART61"/>
      <c r="ARU61"/>
      <c r="ARV61"/>
      <c r="ARW61"/>
      <c r="ARX61"/>
      <c r="ARY61"/>
      <c r="ARZ61"/>
      <c r="ASA61"/>
      <c r="ASB61"/>
      <c r="ASC61"/>
      <c r="ASD61"/>
      <c r="ASE61"/>
      <c r="ASF61"/>
      <c r="ASG61"/>
      <c r="ASH61"/>
      <c r="ASI61"/>
      <c r="ASJ61"/>
      <c r="ASK61"/>
      <c r="ASL61"/>
      <c r="ASM61"/>
      <c r="ASN61"/>
      <c r="ASO61"/>
      <c r="ASP61"/>
      <c r="ASQ61"/>
      <c r="ASR61"/>
      <c r="ASS61"/>
      <c r="AST61"/>
      <c r="ASU61"/>
      <c r="ASV61"/>
      <c r="ASW61"/>
      <c r="ASX61"/>
      <c r="ASY61"/>
      <c r="ASZ61"/>
      <c r="ATA61"/>
      <c r="ATB61"/>
      <c r="ATC61"/>
      <c r="ATD61"/>
      <c r="ATE61"/>
      <c r="ATF61"/>
      <c r="ATG61"/>
      <c r="ATH61"/>
      <c r="ATI61"/>
      <c r="ATJ61"/>
      <c r="ATK61"/>
      <c r="ATL61"/>
      <c r="ATM61"/>
      <c r="ATN61"/>
      <c r="ATO61"/>
      <c r="ATP61"/>
      <c r="ATQ61"/>
      <c r="ATR61"/>
      <c r="ATS61"/>
      <c r="ATT61"/>
      <c r="ATU61"/>
      <c r="ATV61"/>
      <c r="ATW61"/>
      <c r="ATX61"/>
      <c r="ATY61"/>
      <c r="ATZ61"/>
      <c r="AUA61"/>
      <c r="AUB61"/>
      <c r="AUC61"/>
      <c r="AUD61"/>
      <c r="AUE61"/>
      <c r="AUF61"/>
      <c r="AUG61"/>
      <c r="AUH61"/>
      <c r="AUI61"/>
      <c r="AUJ61"/>
      <c r="AUK61"/>
      <c r="AUL61"/>
      <c r="AUM61"/>
      <c r="AUN61"/>
      <c r="AUO61"/>
      <c r="AUP61"/>
      <c r="AUQ61"/>
      <c r="AUR61"/>
      <c r="AUS61"/>
      <c r="AUT61"/>
      <c r="AUU61"/>
      <c r="AUV61"/>
      <c r="AUW61"/>
      <c r="AUX61"/>
      <c r="AUY61"/>
      <c r="AUZ61"/>
      <c r="AVA61"/>
      <c r="AVB61"/>
      <c r="AVC61"/>
      <c r="AVD61"/>
      <c r="AVE61"/>
      <c r="AVF61"/>
      <c r="AVG61"/>
      <c r="AVH61"/>
      <c r="AVI61"/>
      <c r="AVJ61"/>
      <c r="AVK61"/>
      <c r="AVL61"/>
      <c r="AVM61"/>
      <c r="AVN61"/>
      <c r="AVO61"/>
      <c r="AVP61"/>
      <c r="AVQ61"/>
      <c r="AVR61"/>
      <c r="AVS61"/>
      <c r="AVT61"/>
      <c r="AVU61"/>
      <c r="AVV61"/>
      <c r="AVW61"/>
      <c r="AVX61"/>
      <c r="AVY61"/>
      <c r="AVZ61"/>
      <c r="AWA61"/>
      <c r="AWB61"/>
      <c r="AWC61"/>
      <c r="AWD61"/>
      <c r="AWE61"/>
      <c r="AWF61"/>
      <c r="AWG61"/>
      <c r="AWH61"/>
      <c r="AWI61"/>
      <c r="AWJ61"/>
      <c r="AWK61"/>
      <c r="AWL61"/>
      <c r="AWM61"/>
      <c r="AWN61"/>
      <c r="AWO61"/>
      <c r="AWP61"/>
      <c r="AWQ61"/>
      <c r="AWR61"/>
      <c r="AWS61"/>
      <c r="AWT61"/>
      <c r="AWU61"/>
      <c r="AWV61"/>
      <c r="AWW61"/>
      <c r="AWX61"/>
      <c r="AWY61"/>
      <c r="AWZ61"/>
      <c r="AXA61"/>
      <c r="AXB61"/>
      <c r="AXC61"/>
      <c r="AXD61"/>
      <c r="AXE61"/>
      <c r="AXF61"/>
      <c r="AXG61"/>
      <c r="AXH61"/>
      <c r="AXI61"/>
      <c r="AXJ61"/>
      <c r="AXK61"/>
      <c r="AXL61"/>
      <c r="AXM61"/>
      <c r="AXN61"/>
      <c r="AXO61"/>
      <c r="AXP61"/>
      <c r="AXQ61"/>
      <c r="AXR61"/>
      <c r="AXS61"/>
      <c r="AXT61"/>
      <c r="AXU61"/>
      <c r="AXV61"/>
      <c r="AXW61"/>
      <c r="AXX61"/>
      <c r="AXY61"/>
      <c r="AXZ61"/>
      <c r="AYA61"/>
      <c r="AYB61"/>
      <c r="AYC61"/>
      <c r="AYD61"/>
      <c r="AYE61"/>
      <c r="AYF61"/>
      <c r="AYG61"/>
      <c r="AYH61"/>
      <c r="AYI61"/>
      <c r="AYJ61"/>
      <c r="AYK61"/>
      <c r="AYL61"/>
      <c r="AYM61"/>
      <c r="AYN61"/>
      <c r="AYO61"/>
      <c r="AYP61"/>
      <c r="AYQ61"/>
      <c r="AYR61"/>
      <c r="AYS61"/>
      <c r="AYT61"/>
      <c r="AYU61"/>
      <c r="AYV61"/>
      <c r="AYW61"/>
      <c r="AYX61"/>
      <c r="AYY61"/>
      <c r="AYZ61"/>
      <c r="AZA61"/>
      <c r="AZB61"/>
      <c r="AZC61"/>
      <c r="AZD61"/>
      <c r="AZE61"/>
      <c r="AZF61"/>
      <c r="AZG61"/>
      <c r="AZH61"/>
      <c r="AZI61"/>
      <c r="AZJ61"/>
      <c r="AZK61"/>
      <c r="AZL61"/>
      <c r="AZM61"/>
      <c r="AZN61"/>
      <c r="AZO61"/>
      <c r="AZP61"/>
      <c r="AZQ61"/>
      <c r="AZR61"/>
      <c r="AZS61"/>
      <c r="AZT61"/>
      <c r="AZU61"/>
      <c r="AZV61"/>
      <c r="AZW61"/>
      <c r="AZX61"/>
      <c r="AZY61"/>
      <c r="AZZ61"/>
      <c r="BAA61"/>
      <c r="BAB61"/>
      <c r="BAC61"/>
      <c r="BAD61"/>
      <c r="BAE61"/>
      <c r="BAF61"/>
      <c r="BAG61"/>
      <c r="BAH61"/>
      <c r="BAI61"/>
      <c r="BAJ61"/>
      <c r="BAK61"/>
      <c r="BAL61"/>
      <c r="BAM61"/>
      <c r="BAN61"/>
      <c r="BAO61"/>
      <c r="BAP61"/>
      <c r="BAQ61"/>
      <c r="BAR61"/>
      <c r="BAS61"/>
      <c r="BAT61"/>
      <c r="BAU61"/>
      <c r="BAV61"/>
      <c r="BAW61"/>
      <c r="BAX61"/>
      <c r="BAY61"/>
      <c r="BAZ61"/>
      <c r="BBA61"/>
      <c r="BBB61"/>
      <c r="BBC61"/>
      <c r="BBD61"/>
      <c r="BBE61"/>
      <c r="BBF61"/>
      <c r="BBG61"/>
      <c r="BBH61"/>
      <c r="BBI61"/>
      <c r="BBJ61"/>
      <c r="BBK61"/>
      <c r="BBL61"/>
      <c r="BBM61"/>
      <c r="BBN61"/>
      <c r="BBO61"/>
      <c r="BBP61"/>
      <c r="BBQ61"/>
      <c r="BBR61"/>
      <c r="BBS61"/>
      <c r="BBT61"/>
      <c r="BBU61"/>
      <c r="BBV61"/>
      <c r="BBW61"/>
      <c r="BBX61"/>
      <c r="BBY61"/>
      <c r="BBZ61"/>
      <c r="BCA61"/>
      <c r="BCB61"/>
      <c r="BCC61"/>
      <c r="BCD61"/>
      <c r="BCE61"/>
      <c r="BCF61"/>
      <c r="BCG61"/>
      <c r="BCH61"/>
      <c r="BCI61"/>
      <c r="BCJ61"/>
      <c r="BCK61"/>
      <c r="BCL61"/>
      <c r="BCM61"/>
      <c r="BCN61"/>
      <c r="BCO61"/>
      <c r="BCP61"/>
      <c r="BCQ61"/>
      <c r="BCR61"/>
      <c r="BCS61"/>
      <c r="BCT61"/>
      <c r="BCU61"/>
      <c r="BCV61"/>
      <c r="BCW61"/>
      <c r="BCX61"/>
      <c r="BCY61"/>
      <c r="BCZ61"/>
      <c r="BDA61"/>
      <c r="BDB61"/>
      <c r="BDC61"/>
      <c r="BDD61"/>
      <c r="BDE61"/>
      <c r="BDF61"/>
      <c r="BDG61"/>
      <c r="BDH61"/>
      <c r="BDI61"/>
      <c r="BDJ61"/>
      <c r="BDK61"/>
      <c r="BDL61"/>
      <c r="BDM61"/>
      <c r="BDN61"/>
      <c r="BDO61"/>
      <c r="BDP61"/>
      <c r="BDQ61"/>
      <c r="BDR61"/>
      <c r="BDS61"/>
      <c r="BDT61"/>
      <c r="BDU61"/>
      <c r="BDV61"/>
      <c r="BDW61"/>
      <c r="BDX61"/>
      <c r="BDY61"/>
      <c r="BDZ61"/>
      <c r="BEA61"/>
      <c r="BEB61"/>
      <c r="BEC61"/>
      <c r="BED61"/>
      <c r="BEE61"/>
      <c r="BEF61"/>
      <c r="BEG61"/>
      <c r="BEH61"/>
      <c r="BEI61"/>
      <c r="BEJ61"/>
      <c r="BEK61"/>
      <c r="BEL61"/>
      <c r="BEM61"/>
      <c r="BEN61"/>
      <c r="BEO61"/>
      <c r="BEP61"/>
      <c r="BEQ61"/>
      <c r="BER61"/>
      <c r="BES61"/>
      <c r="BET61"/>
      <c r="BEU61"/>
      <c r="BEV61"/>
      <c r="BEW61"/>
      <c r="BEX61"/>
      <c r="BEY61"/>
      <c r="BEZ61"/>
      <c r="BFA61"/>
      <c r="BFB61"/>
      <c r="BFC61"/>
      <c r="BFD61"/>
      <c r="BFE61"/>
      <c r="BFF61"/>
      <c r="BFG61"/>
      <c r="BFH61"/>
      <c r="BFI61"/>
      <c r="BFJ61"/>
      <c r="BFK61"/>
      <c r="BFL61"/>
      <c r="BFM61"/>
      <c r="BFN61"/>
      <c r="BFO61"/>
      <c r="BFP61"/>
      <c r="BFQ61"/>
      <c r="BFR61"/>
      <c r="BFS61"/>
      <c r="BFT61"/>
      <c r="BFU61"/>
      <c r="BFV61"/>
      <c r="BFW61"/>
      <c r="BFX61"/>
      <c r="BFY61"/>
      <c r="BFZ61"/>
      <c r="BGA61"/>
      <c r="BGB61"/>
      <c r="BGC61"/>
      <c r="BGD61"/>
      <c r="BGE61"/>
      <c r="BGF61"/>
      <c r="BGG61"/>
      <c r="BGH61"/>
      <c r="BGI61"/>
      <c r="BGJ61"/>
      <c r="BGK61"/>
      <c r="BGL61"/>
      <c r="BGM61"/>
      <c r="BGN61"/>
      <c r="BGO61"/>
      <c r="BGP61"/>
      <c r="BGQ61"/>
      <c r="BGR61"/>
      <c r="BGS61"/>
      <c r="BGT61"/>
      <c r="BGU61"/>
      <c r="BGV61"/>
      <c r="BGW61"/>
      <c r="BGX61"/>
      <c r="BGY61"/>
      <c r="BGZ61"/>
      <c r="BHA61"/>
      <c r="BHB61"/>
      <c r="BHC61"/>
      <c r="BHD61"/>
      <c r="BHE61"/>
      <c r="BHF61"/>
      <c r="BHG61"/>
      <c r="BHH61"/>
      <c r="BHI61"/>
      <c r="BHJ61"/>
      <c r="BHK61"/>
      <c r="BHL61"/>
      <c r="BHM61"/>
      <c r="BHN61"/>
      <c r="BHO61"/>
      <c r="BHP61"/>
      <c r="BHQ61"/>
      <c r="BHR61"/>
      <c r="BHS61"/>
      <c r="BHT61"/>
      <c r="BHU61"/>
      <c r="BHV61"/>
      <c r="BHW61"/>
      <c r="BHX61"/>
      <c r="BHY61"/>
      <c r="BHZ61"/>
      <c r="BIA61"/>
      <c r="BIB61"/>
      <c r="BIC61"/>
      <c r="BID61"/>
      <c r="BIE61"/>
      <c r="BIF61"/>
      <c r="BIG61"/>
      <c r="BIH61"/>
      <c r="BII61"/>
      <c r="BIJ61"/>
      <c r="BIK61"/>
      <c r="BIL61"/>
      <c r="BIM61"/>
      <c r="BIN61"/>
      <c r="BIO61"/>
      <c r="BIP61"/>
      <c r="BIQ61"/>
      <c r="BIR61"/>
      <c r="BIS61"/>
      <c r="BIT61"/>
      <c r="BIU61"/>
      <c r="BIV61"/>
      <c r="BIW61"/>
      <c r="BIX61"/>
      <c r="BIY61"/>
      <c r="BIZ61"/>
      <c r="BJA61"/>
      <c r="BJB61"/>
      <c r="BJC61"/>
      <c r="BJD61"/>
      <c r="BJE61"/>
      <c r="BJF61"/>
      <c r="BJG61"/>
      <c r="BJH61"/>
      <c r="BJI61"/>
      <c r="BJJ61"/>
      <c r="BJK61"/>
      <c r="BJL61"/>
      <c r="BJM61"/>
      <c r="BJN61"/>
      <c r="BJO61"/>
      <c r="BJP61"/>
      <c r="BJQ61"/>
      <c r="BJR61"/>
      <c r="BJS61"/>
      <c r="BJT61"/>
      <c r="BJU61"/>
      <c r="BJV61"/>
      <c r="BJW61"/>
      <c r="BJX61"/>
      <c r="BJY61"/>
      <c r="BJZ61"/>
      <c r="BKA61"/>
      <c r="BKB61"/>
      <c r="BKC61"/>
      <c r="BKD61"/>
      <c r="BKE61"/>
      <c r="BKF61"/>
      <c r="BKG61"/>
      <c r="BKH61"/>
      <c r="BKI61"/>
      <c r="BKJ61"/>
      <c r="BKK61"/>
      <c r="BKL61"/>
      <c r="BKM61"/>
      <c r="BKN61"/>
      <c r="BKO61"/>
      <c r="BKP61"/>
      <c r="BKQ61"/>
      <c r="BKR61"/>
      <c r="BKS61"/>
      <c r="BKT61"/>
      <c r="BKU61"/>
      <c r="BKV61"/>
      <c r="BKW61"/>
      <c r="BKX61"/>
      <c r="BKY61"/>
      <c r="BKZ61"/>
      <c r="BLA61"/>
      <c r="BLB61"/>
      <c r="BLC61"/>
      <c r="BLD61"/>
      <c r="BLE61"/>
      <c r="BLF61"/>
      <c r="BLG61"/>
      <c r="BLH61"/>
      <c r="BLI61"/>
      <c r="BLJ61"/>
      <c r="BLK61"/>
      <c r="BLL61"/>
      <c r="BLM61"/>
      <c r="BLN61"/>
      <c r="BLO61"/>
      <c r="BLP61"/>
      <c r="BLQ61"/>
      <c r="BLR61"/>
      <c r="BLS61"/>
      <c r="BLT61"/>
      <c r="BLU61"/>
      <c r="BLV61"/>
      <c r="BLW61"/>
      <c r="BLX61"/>
      <c r="BLY61"/>
      <c r="BLZ61"/>
      <c r="BMA61"/>
      <c r="BMB61"/>
      <c r="BMC61"/>
      <c r="BMD61"/>
      <c r="BME61"/>
      <c r="BMF61"/>
      <c r="BMG61"/>
      <c r="BMH61"/>
      <c r="BMI61"/>
      <c r="BMJ61"/>
      <c r="BMK61"/>
      <c r="BML61"/>
      <c r="BMM61"/>
      <c r="BMN61"/>
      <c r="BMO61"/>
      <c r="BMP61"/>
      <c r="BMQ61"/>
      <c r="BMR61"/>
      <c r="BMS61"/>
      <c r="BMT61"/>
      <c r="BMU61"/>
      <c r="BMV61"/>
      <c r="BMW61"/>
      <c r="BMX61"/>
      <c r="BMY61"/>
      <c r="BMZ61"/>
      <c r="BNA61"/>
      <c r="BNB61"/>
      <c r="BNC61"/>
      <c r="BND61"/>
      <c r="BNE61"/>
      <c r="BNF61"/>
      <c r="BNG61"/>
      <c r="BNH61"/>
      <c r="BNI61"/>
      <c r="BNJ61"/>
      <c r="BNK61"/>
      <c r="BNL61"/>
      <c r="BNM61"/>
      <c r="BNN61"/>
      <c r="BNO61"/>
      <c r="BNP61"/>
      <c r="BNQ61"/>
      <c r="BNR61"/>
      <c r="BNS61"/>
      <c r="BNT61"/>
      <c r="BNU61"/>
      <c r="BNV61"/>
      <c r="BNW61"/>
      <c r="BNX61"/>
      <c r="BNY61"/>
      <c r="BNZ61"/>
      <c r="BOA61"/>
      <c r="BOB61"/>
      <c r="BOC61"/>
      <c r="BOD61"/>
      <c r="BOE61"/>
      <c r="BOF61"/>
      <c r="BOG61"/>
      <c r="BOH61"/>
      <c r="BOI61"/>
      <c r="BOJ61"/>
      <c r="BOK61"/>
      <c r="BOL61"/>
      <c r="BOM61"/>
      <c r="BON61"/>
      <c r="BOO61"/>
      <c r="BOP61"/>
      <c r="BOQ61"/>
      <c r="BOR61"/>
      <c r="BOS61"/>
      <c r="BOT61"/>
      <c r="BOU61"/>
      <c r="BOV61"/>
      <c r="BOW61"/>
      <c r="BOX61"/>
      <c r="BOY61"/>
      <c r="BOZ61"/>
      <c r="BPA61"/>
      <c r="BPB61"/>
      <c r="BPC61"/>
      <c r="BPD61"/>
      <c r="BPE61"/>
      <c r="BPF61"/>
      <c r="BPG61"/>
      <c r="BPH61"/>
      <c r="BPI61"/>
      <c r="BPJ61"/>
      <c r="BPK61"/>
      <c r="BPL61"/>
      <c r="BPM61"/>
      <c r="BPN61"/>
      <c r="BPO61"/>
      <c r="BPP61"/>
      <c r="BPQ61"/>
      <c r="BPR61"/>
      <c r="BPS61"/>
      <c r="BPT61"/>
      <c r="BPU61"/>
      <c r="BPV61"/>
      <c r="BPW61"/>
      <c r="BPX61"/>
      <c r="BPY61"/>
      <c r="BPZ61"/>
      <c r="BQA61"/>
      <c r="BQB61"/>
      <c r="BQC61"/>
      <c r="BQD61"/>
      <c r="BQE61"/>
      <c r="BQF61"/>
      <c r="BQG61"/>
      <c r="BQH61"/>
      <c r="BQI61"/>
      <c r="BQJ61"/>
      <c r="BQK61"/>
      <c r="BQL61"/>
      <c r="BQM61"/>
      <c r="BQN61"/>
      <c r="BQO61"/>
      <c r="BQP61"/>
      <c r="BQQ61"/>
      <c r="BQR61"/>
      <c r="BQS61"/>
      <c r="BQT61"/>
      <c r="BQU61"/>
      <c r="BQV61"/>
      <c r="BQW61"/>
      <c r="BQX61"/>
      <c r="BQY61"/>
      <c r="BQZ61"/>
      <c r="BRA61"/>
      <c r="BRB61"/>
      <c r="BRC61"/>
      <c r="BRD61"/>
      <c r="BRE61"/>
      <c r="BRF61"/>
      <c r="BRG61"/>
      <c r="BRH61"/>
      <c r="BRI61"/>
      <c r="BRJ61"/>
      <c r="BRK61"/>
      <c r="BRL61"/>
      <c r="BRM61"/>
      <c r="BRN61"/>
      <c r="BRO61"/>
      <c r="BRP61"/>
      <c r="BRQ61"/>
      <c r="BRR61"/>
      <c r="BRS61"/>
      <c r="BRT61"/>
      <c r="BRU61"/>
      <c r="BRV61"/>
      <c r="BRW61"/>
      <c r="BRX61"/>
      <c r="BRY61"/>
      <c r="BRZ61"/>
      <c r="BSA61"/>
      <c r="BSB61"/>
      <c r="BSC61"/>
      <c r="BSD61"/>
      <c r="BSE61"/>
      <c r="BSF61"/>
      <c r="BSG61"/>
      <c r="BSH61"/>
      <c r="BSI61"/>
      <c r="BSJ61"/>
      <c r="BSK61"/>
      <c r="BSL61"/>
      <c r="BSM61"/>
      <c r="BSN61"/>
      <c r="BSO61"/>
      <c r="BSP61"/>
      <c r="BSQ61"/>
      <c r="BSR61"/>
      <c r="BSS61"/>
      <c r="BST61"/>
      <c r="BSU61"/>
      <c r="BSV61"/>
      <c r="BSW61"/>
      <c r="BSX61"/>
      <c r="BSY61"/>
      <c r="BSZ61"/>
      <c r="BTA61"/>
      <c r="BTB61"/>
      <c r="BTC61"/>
      <c r="BTD61"/>
      <c r="BTE61"/>
      <c r="BTF61"/>
      <c r="BTG61"/>
      <c r="BTH61"/>
      <c r="BTI61"/>
      <c r="BTJ61"/>
      <c r="BTK61"/>
      <c r="BTL61"/>
      <c r="BTM61"/>
      <c r="BTN61"/>
      <c r="BTO61"/>
      <c r="BTP61"/>
      <c r="BTQ61"/>
      <c r="BTR61"/>
      <c r="BTS61"/>
      <c r="BTT61"/>
      <c r="BTU61"/>
      <c r="BTV61"/>
      <c r="BTW61"/>
      <c r="BTX61"/>
      <c r="BTY61"/>
      <c r="BTZ61"/>
      <c r="BUA61"/>
      <c r="BUB61"/>
      <c r="BUC61"/>
      <c r="BUD61"/>
      <c r="BUE61"/>
      <c r="BUF61"/>
      <c r="BUG61"/>
      <c r="BUH61"/>
      <c r="BUI61"/>
      <c r="BUJ61"/>
      <c r="BUK61"/>
      <c r="BUL61"/>
      <c r="BUM61"/>
      <c r="BUN61"/>
      <c r="BUO61"/>
      <c r="BUP61"/>
      <c r="BUQ61"/>
      <c r="BUR61"/>
      <c r="BUS61"/>
      <c r="BUT61"/>
      <c r="BUU61"/>
      <c r="BUV61"/>
      <c r="BUW61"/>
      <c r="BUX61"/>
      <c r="BUY61"/>
      <c r="BUZ61"/>
      <c r="BVA61"/>
      <c r="BVB61"/>
      <c r="BVC61"/>
      <c r="BVD61"/>
      <c r="BVE61"/>
      <c r="BVF61"/>
      <c r="BVG61"/>
      <c r="BVH61"/>
      <c r="BVI61"/>
      <c r="BVJ61"/>
      <c r="BVK61"/>
      <c r="BVL61"/>
      <c r="BVM61"/>
      <c r="BVN61"/>
      <c r="BVO61"/>
      <c r="BVP61"/>
      <c r="BVQ61"/>
      <c r="BVR61"/>
      <c r="BVS61"/>
      <c r="BVT61"/>
      <c r="BVU61"/>
      <c r="BVV61"/>
      <c r="BVW61"/>
      <c r="BVX61"/>
      <c r="BVY61"/>
      <c r="BVZ61"/>
      <c r="BWA61"/>
      <c r="BWB61"/>
      <c r="BWC61"/>
      <c r="BWD61"/>
      <c r="BWE61"/>
      <c r="BWF61"/>
      <c r="BWG61"/>
      <c r="BWH61"/>
      <c r="BWI61"/>
      <c r="BWJ61"/>
      <c r="BWK61"/>
      <c r="BWL61"/>
      <c r="BWM61"/>
      <c r="BWN61"/>
      <c r="BWO61"/>
      <c r="BWP61"/>
      <c r="BWQ61"/>
      <c r="BWR61"/>
      <c r="BWS61"/>
      <c r="BWT61"/>
      <c r="BWU61"/>
      <c r="BWV61"/>
      <c r="BWW61"/>
      <c r="BWX61"/>
      <c r="BWY61"/>
      <c r="BWZ61"/>
      <c r="BXA61"/>
      <c r="BXB61"/>
      <c r="BXC61"/>
      <c r="BXD61"/>
      <c r="BXE61"/>
      <c r="BXF61"/>
      <c r="BXG61"/>
      <c r="BXH61"/>
      <c r="BXI61"/>
      <c r="BXJ61"/>
      <c r="BXK61"/>
      <c r="BXL61"/>
      <c r="BXM61"/>
      <c r="BXN61"/>
      <c r="BXO61"/>
      <c r="BXP61"/>
      <c r="BXQ61"/>
      <c r="BXR61"/>
      <c r="BXS61"/>
      <c r="BXT61"/>
      <c r="BXU61"/>
      <c r="BXV61"/>
      <c r="BXW61"/>
      <c r="BXX61"/>
      <c r="BXY61"/>
      <c r="BXZ61"/>
      <c r="BYA61"/>
      <c r="BYB61"/>
      <c r="BYC61"/>
      <c r="BYD61"/>
      <c r="BYE61"/>
      <c r="BYF61"/>
      <c r="BYG61"/>
    </row>
    <row r="62" spans="1:2009" s="89" customFormat="1" ht="24.95" hidden="1" customHeight="1" thickBot="1" x14ac:dyDescent="0.3">
      <c r="A62" s="375" t="s">
        <v>439</v>
      </c>
      <c r="B62" s="374"/>
      <c r="C62" s="350"/>
      <c r="D62" s="351"/>
      <c r="E62" s="351"/>
      <c r="F62" s="351"/>
      <c r="G62" s="534">
        <f>SUM(C62:F62)</f>
        <v>0</v>
      </c>
      <c r="H62"/>
      <c r="I62" s="21"/>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c r="AMK62"/>
      <c r="AML62"/>
      <c r="AMM62"/>
      <c r="AMN62"/>
      <c r="AMO62"/>
      <c r="AMP62"/>
      <c r="AMQ62"/>
      <c r="AMR62"/>
      <c r="AMS62"/>
      <c r="AMT62"/>
      <c r="AMU62"/>
      <c r="AMV62"/>
      <c r="AMW62"/>
      <c r="AMX62"/>
      <c r="AMY62"/>
      <c r="AMZ62"/>
      <c r="ANA62"/>
      <c r="ANB62"/>
      <c r="ANC62"/>
      <c r="AND62"/>
      <c r="ANE62"/>
      <c r="ANF62"/>
      <c r="ANG62"/>
      <c r="ANH62"/>
      <c r="ANI62"/>
      <c r="ANJ62"/>
      <c r="ANK62"/>
      <c r="ANL62"/>
      <c r="ANM62"/>
      <c r="ANN62"/>
      <c r="ANO62"/>
      <c r="ANP62"/>
      <c r="ANQ62"/>
      <c r="ANR62"/>
      <c r="ANS62"/>
      <c r="ANT62"/>
      <c r="ANU62"/>
      <c r="ANV62"/>
      <c r="ANW62"/>
      <c r="ANX62"/>
      <c r="ANY62"/>
      <c r="ANZ62"/>
      <c r="AOA62"/>
      <c r="AOB62"/>
      <c r="AOC62"/>
      <c r="AOD62"/>
      <c r="AOE62"/>
      <c r="AOF62"/>
      <c r="AOG62"/>
      <c r="AOH62"/>
      <c r="AOI62"/>
      <c r="AOJ62"/>
      <c r="AOK62"/>
      <c r="AOL62"/>
      <c r="AOM62"/>
      <c r="AON62"/>
      <c r="AOO62"/>
      <c r="AOP62"/>
      <c r="AOQ62"/>
      <c r="AOR62"/>
      <c r="AOS62"/>
      <c r="AOT62"/>
      <c r="AOU62"/>
      <c r="AOV62"/>
      <c r="AOW62"/>
      <c r="AOX62"/>
      <c r="AOY62"/>
      <c r="AOZ62"/>
      <c r="APA62"/>
      <c r="APB62"/>
      <c r="APC62"/>
      <c r="APD62"/>
      <c r="APE62"/>
      <c r="APF62"/>
      <c r="APG62"/>
      <c r="APH62"/>
      <c r="API62"/>
      <c r="APJ62"/>
      <c r="APK62"/>
      <c r="APL62"/>
      <c r="APM62"/>
      <c r="APN62"/>
      <c r="APO62"/>
      <c r="APP62"/>
      <c r="APQ62"/>
      <c r="APR62"/>
      <c r="APS62"/>
      <c r="APT62"/>
      <c r="APU62"/>
      <c r="APV62"/>
      <c r="APW62"/>
      <c r="APX62"/>
      <c r="APY62"/>
      <c r="APZ62"/>
      <c r="AQA62"/>
      <c r="AQB62"/>
      <c r="AQC62"/>
      <c r="AQD62"/>
      <c r="AQE62"/>
      <c r="AQF62"/>
      <c r="AQG62"/>
      <c r="AQH62"/>
      <c r="AQI62"/>
      <c r="AQJ62"/>
      <c r="AQK62"/>
      <c r="AQL62"/>
      <c r="AQM62"/>
      <c r="AQN62"/>
      <c r="AQO62"/>
      <c r="AQP62"/>
      <c r="AQQ62"/>
      <c r="AQR62"/>
      <c r="AQS62"/>
      <c r="AQT62"/>
      <c r="AQU62"/>
      <c r="AQV62"/>
      <c r="AQW62"/>
      <c r="AQX62"/>
      <c r="AQY62"/>
      <c r="AQZ62"/>
      <c r="ARA62"/>
      <c r="ARB62"/>
      <c r="ARC62"/>
      <c r="ARD62"/>
      <c r="ARE62"/>
      <c r="ARF62"/>
      <c r="ARG62"/>
      <c r="ARH62"/>
      <c r="ARI62"/>
      <c r="ARJ62"/>
      <c r="ARK62"/>
      <c r="ARL62"/>
      <c r="ARM62"/>
      <c r="ARN62"/>
      <c r="ARO62"/>
      <c r="ARP62"/>
      <c r="ARQ62"/>
      <c r="ARR62"/>
      <c r="ARS62"/>
      <c r="ART62"/>
      <c r="ARU62"/>
      <c r="ARV62"/>
      <c r="ARW62"/>
      <c r="ARX62"/>
      <c r="ARY62"/>
      <c r="ARZ62"/>
      <c r="ASA62"/>
      <c r="ASB62"/>
      <c r="ASC62"/>
      <c r="ASD62"/>
      <c r="ASE62"/>
      <c r="ASF62"/>
      <c r="ASG62"/>
      <c r="ASH62"/>
      <c r="ASI62"/>
      <c r="ASJ62"/>
      <c r="ASK62"/>
      <c r="ASL62"/>
      <c r="ASM62"/>
      <c r="ASN62"/>
      <c r="ASO62"/>
      <c r="ASP62"/>
      <c r="ASQ62"/>
      <c r="ASR62"/>
      <c r="ASS62"/>
      <c r="AST62"/>
      <c r="ASU62"/>
      <c r="ASV62"/>
      <c r="ASW62"/>
      <c r="ASX62"/>
      <c r="ASY62"/>
      <c r="ASZ62"/>
      <c r="ATA62"/>
      <c r="ATB62"/>
      <c r="ATC62"/>
      <c r="ATD62"/>
      <c r="ATE62"/>
      <c r="ATF62"/>
      <c r="ATG62"/>
      <c r="ATH62"/>
      <c r="ATI62"/>
      <c r="ATJ62"/>
      <c r="ATK62"/>
      <c r="ATL62"/>
      <c r="ATM62"/>
      <c r="ATN62"/>
      <c r="ATO62"/>
      <c r="ATP62"/>
      <c r="ATQ62"/>
      <c r="ATR62"/>
      <c r="ATS62"/>
      <c r="ATT62"/>
      <c r="ATU62"/>
      <c r="ATV62"/>
      <c r="ATW62"/>
      <c r="ATX62"/>
      <c r="ATY62"/>
      <c r="ATZ62"/>
      <c r="AUA62"/>
      <c r="AUB62"/>
      <c r="AUC62"/>
      <c r="AUD62"/>
      <c r="AUE62"/>
      <c r="AUF62"/>
      <c r="AUG62"/>
      <c r="AUH62"/>
      <c r="AUI62"/>
      <c r="AUJ62"/>
      <c r="AUK62"/>
      <c r="AUL62"/>
      <c r="AUM62"/>
      <c r="AUN62"/>
      <c r="AUO62"/>
      <c r="AUP62"/>
      <c r="AUQ62"/>
      <c r="AUR62"/>
      <c r="AUS62"/>
      <c r="AUT62"/>
      <c r="AUU62"/>
      <c r="AUV62"/>
      <c r="AUW62"/>
      <c r="AUX62"/>
      <c r="AUY62"/>
      <c r="AUZ62"/>
      <c r="AVA62"/>
      <c r="AVB62"/>
      <c r="AVC62"/>
      <c r="AVD62"/>
      <c r="AVE62"/>
      <c r="AVF62"/>
      <c r="AVG62"/>
      <c r="AVH62"/>
      <c r="AVI62"/>
      <c r="AVJ62"/>
      <c r="AVK62"/>
      <c r="AVL62"/>
      <c r="AVM62"/>
      <c r="AVN62"/>
      <c r="AVO62"/>
      <c r="AVP62"/>
      <c r="AVQ62"/>
      <c r="AVR62"/>
      <c r="AVS62"/>
      <c r="AVT62"/>
      <c r="AVU62"/>
      <c r="AVV62"/>
      <c r="AVW62"/>
      <c r="AVX62"/>
      <c r="AVY62"/>
      <c r="AVZ62"/>
      <c r="AWA62"/>
      <c r="AWB62"/>
      <c r="AWC62"/>
      <c r="AWD62"/>
      <c r="AWE62"/>
      <c r="AWF62"/>
      <c r="AWG62"/>
      <c r="AWH62"/>
      <c r="AWI62"/>
      <c r="AWJ62"/>
      <c r="AWK62"/>
      <c r="AWL62"/>
      <c r="AWM62"/>
      <c r="AWN62"/>
      <c r="AWO62"/>
      <c r="AWP62"/>
      <c r="AWQ62"/>
      <c r="AWR62"/>
      <c r="AWS62"/>
      <c r="AWT62"/>
      <c r="AWU62"/>
      <c r="AWV62"/>
      <c r="AWW62"/>
      <c r="AWX62"/>
      <c r="AWY62"/>
      <c r="AWZ62"/>
      <c r="AXA62"/>
      <c r="AXB62"/>
      <c r="AXC62"/>
      <c r="AXD62"/>
      <c r="AXE62"/>
      <c r="AXF62"/>
      <c r="AXG62"/>
      <c r="AXH62"/>
      <c r="AXI62"/>
      <c r="AXJ62"/>
      <c r="AXK62"/>
      <c r="AXL62"/>
      <c r="AXM62"/>
      <c r="AXN62"/>
      <c r="AXO62"/>
      <c r="AXP62"/>
      <c r="AXQ62"/>
      <c r="AXR62"/>
      <c r="AXS62"/>
      <c r="AXT62"/>
      <c r="AXU62"/>
      <c r="AXV62"/>
      <c r="AXW62"/>
      <c r="AXX62"/>
      <c r="AXY62"/>
      <c r="AXZ62"/>
      <c r="AYA62"/>
      <c r="AYB62"/>
      <c r="AYC62"/>
      <c r="AYD62"/>
      <c r="AYE62"/>
      <c r="AYF62"/>
      <c r="AYG62"/>
      <c r="AYH62"/>
      <c r="AYI62"/>
      <c r="AYJ62"/>
      <c r="AYK62"/>
      <c r="AYL62"/>
      <c r="AYM62"/>
      <c r="AYN62"/>
      <c r="AYO62"/>
      <c r="AYP62"/>
      <c r="AYQ62"/>
      <c r="AYR62"/>
      <c r="AYS62"/>
      <c r="AYT62"/>
      <c r="AYU62"/>
      <c r="AYV62"/>
      <c r="AYW62"/>
      <c r="AYX62"/>
      <c r="AYY62"/>
      <c r="AYZ62"/>
      <c r="AZA62"/>
      <c r="AZB62"/>
      <c r="AZC62"/>
      <c r="AZD62"/>
      <c r="AZE62"/>
      <c r="AZF62"/>
      <c r="AZG62"/>
      <c r="AZH62"/>
      <c r="AZI62"/>
      <c r="AZJ62"/>
      <c r="AZK62"/>
      <c r="AZL62"/>
      <c r="AZM62"/>
      <c r="AZN62"/>
      <c r="AZO62"/>
      <c r="AZP62"/>
      <c r="AZQ62"/>
      <c r="AZR62"/>
      <c r="AZS62"/>
      <c r="AZT62"/>
      <c r="AZU62"/>
      <c r="AZV62"/>
      <c r="AZW62"/>
      <c r="AZX62"/>
      <c r="AZY62"/>
      <c r="AZZ62"/>
      <c r="BAA62"/>
      <c r="BAB62"/>
      <c r="BAC62"/>
      <c r="BAD62"/>
      <c r="BAE62"/>
      <c r="BAF62"/>
      <c r="BAG62"/>
      <c r="BAH62"/>
      <c r="BAI62"/>
      <c r="BAJ62"/>
      <c r="BAK62"/>
      <c r="BAL62"/>
      <c r="BAM62"/>
      <c r="BAN62"/>
      <c r="BAO62"/>
      <c r="BAP62"/>
      <c r="BAQ62"/>
      <c r="BAR62"/>
      <c r="BAS62"/>
      <c r="BAT62"/>
      <c r="BAU62"/>
      <c r="BAV62"/>
      <c r="BAW62"/>
      <c r="BAX62"/>
      <c r="BAY62"/>
      <c r="BAZ62"/>
      <c r="BBA62"/>
      <c r="BBB62"/>
      <c r="BBC62"/>
      <c r="BBD62"/>
      <c r="BBE62"/>
      <c r="BBF62"/>
      <c r="BBG62"/>
      <c r="BBH62"/>
      <c r="BBI62"/>
      <c r="BBJ62"/>
      <c r="BBK62"/>
      <c r="BBL62"/>
      <c r="BBM62"/>
      <c r="BBN62"/>
      <c r="BBO62"/>
      <c r="BBP62"/>
      <c r="BBQ62"/>
      <c r="BBR62"/>
      <c r="BBS62"/>
      <c r="BBT62"/>
      <c r="BBU62"/>
      <c r="BBV62"/>
      <c r="BBW62"/>
      <c r="BBX62"/>
      <c r="BBY62"/>
      <c r="BBZ62"/>
      <c r="BCA62"/>
      <c r="BCB62"/>
      <c r="BCC62"/>
      <c r="BCD62"/>
      <c r="BCE62"/>
      <c r="BCF62"/>
      <c r="BCG62"/>
      <c r="BCH62"/>
      <c r="BCI62"/>
      <c r="BCJ62"/>
      <c r="BCK62"/>
      <c r="BCL62"/>
      <c r="BCM62"/>
      <c r="BCN62"/>
      <c r="BCO62"/>
      <c r="BCP62"/>
      <c r="BCQ62"/>
      <c r="BCR62"/>
      <c r="BCS62"/>
      <c r="BCT62"/>
      <c r="BCU62"/>
      <c r="BCV62"/>
      <c r="BCW62"/>
      <c r="BCX62"/>
      <c r="BCY62"/>
      <c r="BCZ62"/>
      <c r="BDA62"/>
      <c r="BDB62"/>
      <c r="BDC62"/>
      <c r="BDD62"/>
      <c r="BDE62"/>
      <c r="BDF62"/>
      <c r="BDG62"/>
      <c r="BDH62"/>
      <c r="BDI62"/>
      <c r="BDJ62"/>
      <c r="BDK62"/>
      <c r="BDL62"/>
      <c r="BDM62"/>
      <c r="BDN62"/>
      <c r="BDO62"/>
      <c r="BDP62"/>
      <c r="BDQ62"/>
      <c r="BDR62"/>
      <c r="BDS62"/>
      <c r="BDT62"/>
      <c r="BDU62"/>
      <c r="BDV62"/>
      <c r="BDW62"/>
      <c r="BDX62"/>
      <c r="BDY62"/>
      <c r="BDZ62"/>
      <c r="BEA62"/>
      <c r="BEB62"/>
      <c r="BEC62"/>
      <c r="BED62"/>
      <c r="BEE62"/>
      <c r="BEF62"/>
      <c r="BEG62"/>
      <c r="BEH62"/>
      <c r="BEI62"/>
      <c r="BEJ62"/>
      <c r="BEK62"/>
      <c r="BEL62"/>
      <c r="BEM62"/>
      <c r="BEN62"/>
      <c r="BEO62"/>
      <c r="BEP62"/>
      <c r="BEQ62"/>
      <c r="BER62"/>
      <c r="BES62"/>
      <c r="BET62"/>
      <c r="BEU62"/>
      <c r="BEV62"/>
      <c r="BEW62"/>
      <c r="BEX62"/>
      <c r="BEY62"/>
      <c r="BEZ62"/>
      <c r="BFA62"/>
      <c r="BFB62"/>
      <c r="BFC62"/>
      <c r="BFD62"/>
      <c r="BFE62"/>
      <c r="BFF62"/>
      <c r="BFG62"/>
      <c r="BFH62"/>
      <c r="BFI62"/>
      <c r="BFJ62"/>
      <c r="BFK62"/>
      <c r="BFL62"/>
      <c r="BFM62"/>
      <c r="BFN62"/>
      <c r="BFO62"/>
      <c r="BFP62"/>
      <c r="BFQ62"/>
      <c r="BFR62"/>
      <c r="BFS62"/>
      <c r="BFT62"/>
      <c r="BFU62"/>
      <c r="BFV62"/>
      <c r="BFW62"/>
      <c r="BFX62"/>
      <c r="BFY62"/>
      <c r="BFZ62"/>
      <c r="BGA62"/>
      <c r="BGB62"/>
      <c r="BGC62"/>
      <c r="BGD62"/>
      <c r="BGE62"/>
      <c r="BGF62"/>
      <c r="BGG62"/>
      <c r="BGH62"/>
      <c r="BGI62"/>
      <c r="BGJ62"/>
      <c r="BGK62"/>
      <c r="BGL62"/>
      <c r="BGM62"/>
      <c r="BGN62"/>
      <c r="BGO62"/>
      <c r="BGP62"/>
      <c r="BGQ62"/>
      <c r="BGR62"/>
      <c r="BGS62"/>
      <c r="BGT62"/>
      <c r="BGU62"/>
      <c r="BGV62"/>
      <c r="BGW62"/>
      <c r="BGX62"/>
      <c r="BGY62"/>
      <c r="BGZ62"/>
      <c r="BHA62"/>
      <c r="BHB62"/>
      <c r="BHC62"/>
      <c r="BHD62"/>
      <c r="BHE62"/>
      <c r="BHF62"/>
      <c r="BHG62"/>
      <c r="BHH62"/>
      <c r="BHI62"/>
      <c r="BHJ62"/>
      <c r="BHK62"/>
      <c r="BHL62"/>
      <c r="BHM62"/>
      <c r="BHN62"/>
      <c r="BHO62"/>
      <c r="BHP62"/>
      <c r="BHQ62"/>
      <c r="BHR62"/>
      <c r="BHS62"/>
      <c r="BHT62"/>
      <c r="BHU62"/>
      <c r="BHV62"/>
      <c r="BHW62"/>
      <c r="BHX62"/>
      <c r="BHY62"/>
      <c r="BHZ62"/>
      <c r="BIA62"/>
      <c r="BIB62"/>
      <c r="BIC62"/>
      <c r="BID62"/>
      <c r="BIE62"/>
      <c r="BIF62"/>
      <c r="BIG62"/>
      <c r="BIH62"/>
      <c r="BII62"/>
      <c r="BIJ62"/>
      <c r="BIK62"/>
      <c r="BIL62"/>
      <c r="BIM62"/>
      <c r="BIN62"/>
      <c r="BIO62"/>
      <c r="BIP62"/>
      <c r="BIQ62"/>
      <c r="BIR62"/>
      <c r="BIS62"/>
      <c r="BIT62"/>
      <c r="BIU62"/>
      <c r="BIV62"/>
      <c r="BIW62"/>
      <c r="BIX62"/>
      <c r="BIY62"/>
      <c r="BIZ62"/>
      <c r="BJA62"/>
      <c r="BJB62"/>
      <c r="BJC62"/>
      <c r="BJD62"/>
      <c r="BJE62"/>
      <c r="BJF62"/>
      <c r="BJG62"/>
      <c r="BJH62"/>
      <c r="BJI62"/>
      <c r="BJJ62"/>
      <c r="BJK62"/>
      <c r="BJL62"/>
      <c r="BJM62"/>
      <c r="BJN62"/>
      <c r="BJO62"/>
      <c r="BJP62"/>
      <c r="BJQ62"/>
      <c r="BJR62"/>
      <c r="BJS62"/>
      <c r="BJT62"/>
      <c r="BJU62"/>
      <c r="BJV62"/>
      <c r="BJW62"/>
      <c r="BJX62"/>
      <c r="BJY62"/>
      <c r="BJZ62"/>
      <c r="BKA62"/>
      <c r="BKB62"/>
      <c r="BKC62"/>
      <c r="BKD62"/>
      <c r="BKE62"/>
      <c r="BKF62"/>
      <c r="BKG62"/>
      <c r="BKH62"/>
      <c r="BKI62"/>
      <c r="BKJ62"/>
      <c r="BKK62"/>
      <c r="BKL62"/>
      <c r="BKM62"/>
      <c r="BKN62"/>
      <c r="BKO62"/>
      <c r="BKP62"/>
      <c r="BKQ62"/>
      <c r="BKR62"/>
      <c r="BKS62"/>
      <c r="BKT62"/>
      <c r="BKU62"/>
      <c r="BKV62"/>
      <c r="BKW62"/>
      <c r="BKX62"/>
      <c r="BKY62"/>
      <c r="BKZ62"/>
      <c r="BLA62"/>
      <c r="BLB62"/>
      <c r="BLC62"/>
      <c r="BLD62"/>
      <c r="BLE62"/>
      <c r="BLF62"/>
      <c r="BLG62"/>
      <c r="BLH62"/>
      <c r="BLI62"/>
      <c r="BLJ62"/>
      <c r="BLK62"/>
      <c r="BLL62"/>
      <c r="BLM62"/>
      <c r="BLN62"/>
      <c r="BLO62"/>
      <c r="BLP62"/>
      <c r="BLQ62"/>
      <c r="BLR62"/>
      <c r="BLS62"/>
      <c r="BLT62"/>
      <c r="BLU62"/>
      <c r="BLV62"/>
      <c r="BLW62"/>
      <c r="BLX62"/>
      <c r="BLY62"/>
      <c r="BLZ62"/>
      <c r="BMA62"/>
      <c r="BMB62"/>
      <c r="BMC62"/>
      <c r="BMD62"/>
      <c r="BME62"/>
      <c r="BMF62"/>
      <c r="BMG62"/>
      <c r="BMH62"/>
      <c r="BMI62"/>
      <c r="BMJ62"/>
      <c r="BMK62"/>
      <c r="BML62"/>
      <c r="BMM62"/>
      <c r="BMN62"/>
      <c r="BMO62"/>
      <c r="BMP62"/>
      <c r="BMQ62"/>
      <c r="BMR62"/>
      <c r="BMS62"/>
      <c r="BMT62"/>
      <c r="BMU62"/>
      <c r="BMV62"/>
      <c r="BMW62"/>
      <c r="BMX62"/>
      <c r="BMY62"/>
      <c r="BMZ62"/>
      <c r="BNA62"/>
      <c r="BNB62"/>
      <c r="BNC62"/>
      <c r="BND62"/>
      <c r="BNE62"/>
      <c r="BNF62"/>
      <c r="BNG62"/>
      <c r="BNH62"/>
      <c r="BNI62"/>
      <c r="BNJ62"/>
      <c r="BNK62"/>
      <c r="BNL62"/>
      <c r="BNM62"/>
      <c r="BNN62"/>
      <c r="BNO62"/>
      <c r="BNP62"/>
      <c r="BNQ62"/>
      <c r="BNR62"/>
      <c r="BNS62"/>
      <c r="BNT62"/>
      <c r="BNU62"/>
      <c r="BNV62"/>
      <c r="BNW62"/>
      <c r="BNX62"/>
      <c r="BNY62"/>
      <c r="BNZ62"/>
      <c r="BOA62"/>
      <c r="BOB62"/>
      <c r="BOC62"/>
      <c r="BOD62"/>
      <c r="BOE62"/>
      <c r="BOF62"/>
      <c r="BOG62"/>
      <c r="BOH62"/>
      <c r="BOI62"/>
      <c r="BOJ62"/>
      <c r="BOK62"/>
      <c r="BOL62"/>
      <c r="BOM62"/>
      <c r="BON62"/>
      <c r="BOO62"/>
      <c r="BOP62"/>
      <c r="BOQ62"/>
      <c r="BOR62"/>
      <c r="BOS62"/>
      <c r="BOT62"/>
      <c r="BOU62"/>
      <c r="BOV62"/>
      <c r="BOW62"/>
      <c r="BOX62"/>
      <c r="BOY62"/>
      <c r="BOZ62"/>
      <c r="BPA62"/>
      <c r="BPB62"/>
      <c r="BPC62"/>
      <c r="BPD62"/>
      <c r="BPE62"/>
      <c r="BPF62"/>
      <c r="BPG62"/>
      <c r="BPH62"/>
      <c r="BPI62"/>
      <c r="BPJ62"/>
      <c r="BPK62"/>
      <c r="BPL62"/>
      <c r="BPM62"/>
      <c r="BPN62"/>
      <c r="BPO62"/>
      <c r="BPP62"/>
      <c r="BPQ62"/>
      <c r="BPR62"/>
      <c r="BPS62"/>
      <c r="BPT62"/>
      <c r="BPU62"/>
      <c r="BPV62"/>
      <c r="BPW62"/>
      <c r="BPX62"/>
      <c r="BPY62"/>
      <c r="BPZ62"/>
      <c r="BQA62"/>
      <c r="BQB62"/>
      <c r="BQC62"/>
      <c r="BQD62"/>
      <c r="BQE62"/>
      <c r="BQF62"/>
      <c r="BQG62"/>
      <c r="BQH62"/>
      <c r="BQI62"/>
      <c r="BQJ62"/>
      <c r="BQK62"/>
      <c r="BQL62"/>
      <c r="BQM62"/>
      <c r="BQN62"/>
      <c r="BQO62"/>
      <c r="BQP62"/>
      <c r="BQQ62"/>
      <c r="BQR62"/>
      <c r="BQS62"/>
      <c r="BQT62"/>
      <c r="BQU62"/>
      <c r="BQV62"/>
      <c r="BQW62"/>
      <c r="BQX62"/>
      <c r="BQY62"/>
      <c r="BQZ62"/>
      <c r="BRA62"/>
      <c r="BRB62"/>
      <c r="BRC62"/>
      <c r="BRD62"/>
      <c r="BRE62"/>
      <c r="BRF62"/>
      <c r="BRG62"/>
      <c r="BRH62"/>
      <c r="BRI62"/>
      <c r="BRJ62"/>
      <c r="BRK62"/>
      <c r="BRL62"/>
      <c r="BRM62"/>
      <c r="BRN62"/>
      <c r="BRO62"/>
      <c r="BRP62"/>
      <c r="BRQ62"/>
      <c r="BRR62"/>
      <c r="BRS62"/>
      <c r="BRT62"/>
      <c r="BRU62"/>
      <c r="BRV62"/>
      <c r="BRW62"/>
      <c r="BRX62"/>
      <c r="BRY62"/>
      <c r="BRZ62"/>
      <c r="BSA62"/>
      <c r="BSB62"/>
      <c r="BSC62"/>
      <c r="BSD62"/>
      <c r="BSE62"/>
      <c r="BSF62"/>
      <c r="BSG62"/>
      <c r="BSH62"/>
      <c r="BSI62"/>
      <c r="BSJ62"/>
      <c r="BSK62"/>
      <c r="BSL62"/>
      <c r="BSM62"/>
      <c r="BSN62"/>
      <c r="BSO62"/>
      <c r="BSP62"/>
      <c r="BSQ62"/>
      <c r="BSR62"/>
      <c r="BSS62"/>
      <c r="BST62"/>
      <c r="BSU62"/>
      <c r="BSV62"/>
      <c r="BSW62"/>
      <c r="BSX62"/>
      <c r="BSY62"/>
      <c r="BSZ62"/>
      <c r="BTA62"/>
      <c r="BTB62"/>
      <c r="BTC62"/>
      <c r="BTD62"/>
      <c r="BTE62"/>
      <c r="BTF62"/>
      <c r="BTG62"/>
      <c r="BTH62"/>
      <c r="BTI62"/>
      <c r="BTJ62"/>
      <c r="BTK62"/>
      <c r="BTL62"/>
      <c r="BTM62"/>
      <c r="BTN62"/>
      <c r="BTO62"/>
      <c r="BTP62"/>
      <c r="BTQ62"/>
      <c r="BTR62"/>
      <c r="BTS62"/>
      <c r="BTT62"/>
      <c r="BTU62"/>
      <c r="BTV62"/>
      <c r="BTW62"/>
      <c r="BTX62"/>
      <c r="BTY62"/>
      <c r="BTZ62"/>
      <c r="BUA62"/>
      <c r="BUB62"/>
      <c r="BUC62"/>
      <c r="BUD62"/>
      <c r="BUE62"/>
      <c r="BUF62"/>
      <c r="BUG62"/>
      <c r="BUH62"/>
      <c r="BUI62"/>
      <c r="BUJ62"/>
      <c r="BUK62"/>
      <c r="BUL62"/>
      <c r="BUM62"/>
      <c r="BUN62"/>
      <c r="BUO62"/>
      <c r="BUP62"/>
      <c r="BUQ62"/>
      <c r="BUR62"/>
      <c r="BUS62"/>
      <c r="BUT62"/>
      <c r="BUU62"/>
      <c r="BUV62"/>
      <c r="BUW62"/>
      <c r="BUX62"/>
      <c r="BUY62"/>
      <c r="BUZ62"/>
      <c r="BVA62"/>
      <c r="BVB62"/>
      <c r="BVC62"/>
      <c r="BVD62"/>
      <c r="BVE62"/>
      <c r="BVF62"/>
      <c r="BVG62"/>
      <c r="BVH62"/>
      <c r="BVI62"/>
      <c r="BVJ62"/>
      <c r="BVK62"/>
      <c r="BVL62"/>
      <c r="BVM62"/>
      <c r="BVN62"/>
      <c r="BVO62"/>
      <c r="BVP62"/>
      <c r="BVQ62"/>
      <c r="BVR62"/>
      <c r="BVS62"/>
      <c r="BVT62"/>
      <c r="BVU62"/>
      <c r="BVV62"/>
      <c r="BVW62"/>
      <c r="BVX62"/>
      <c r="BVY62"/>
      <c r="BVZ62"/>
      <c r="BWA62"/>
      <c r="BWB62"/>
      <c r="BWC62"/>
      <c r="BWD62"/>
      <c r="BWE62"/>
      <c r="BWF62"/>
      <c r="BWG62"/>
      <c r="BWH62"/>
      <c r="BWI62"/>
      <c r="BWJ62"/>
      <c r="BWK62"/>
      <c r="BWL62"/>
      <c r="BWM62"/>
      <c r="BWN62"/>
      <c r="BWO62"/>
      <c r="BWP62"/>
      <c r="BWQ62"/>
      <c r="BWR62"/>
      <c r="BWS62"/>
      <c r="BWT62"/>
      <c r="BWU62"/>
      <c r="BWV62"/>
      <c r="BWW62"/>
      <c r="BWX62"/>
      <c r="BWY62"/>
      <c r="BWZ62"/>
      <c r="BXA62"/>
      <c r="BXB62"/>
      <c r="BXC62"/>
      <c r="BXD62"/>
      <c r="BXE62"/>
      <c r="BXF62"/>
      <c r="BXG62"/>
      <c r="BXH62"/>
      <c r="BXI62"/>
      <c r="BXJ62"/>
      <c r="BXK62"/>
      <c r="BXL62"/>
      <c r="BXM62"/>
      <c r="BXN62"/>
      <c r="BXO62"/>
      <c r="BXP62"/>
      <c r="BXQ62"/>
      <c r="BXR62"/>
      <c r="BXS62"/>
      <c r="BXT62"/>
      <c r="BXU62"/>
      <c r="BXV62"/>
      <c r="BXW62"/>
      <c r="BXX62"/>
      <c r="BXY62"/>
      <c r="BXZ62"/>
      <c r="BYA62"/>
      <c r="BYB62"/>
      <c r="BYC62"/>
      <c r="BYD62"/>
      <c r="BYE62"/>
      <c r="BYF62"/>
      <c r="BYG62"/>
    </row>
    <row r="63" spans="1:2009" s="89" customFormat="1" ht="12" hidden="1" customHeight="1" thickBot="1" x14ac:dyDescent="0.3">
      <c r="A63" s="536"/>
      <c r="B63" s="536"/>
      <c r="C63" s="349"/>
      <c r="D63" s="142"/>
      <c r="E63" s="142"/>
      <c r="F63" s="142"/>
      <c r="G63" s="515"/>
      <c r="H63"/>
      <c r="I63" s="21"/>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c r="AMJ63"/>
      <c r="AMK63"/>
      <c r="AML63"/>
      <c r="AMM63"/>
      <c r="AMN63"/>
      <c r="AMO63"/>
      <c r="AMP63"/>
      <c r="AMQ63"/>
      <c r="AMR63"/>
      <c r="AMS63"/>
      <c r="AMT63"/>
      <c r="AMU63"/>
      <c r="AMV63"/>
      <c r="AMW63"/>
      <c r="AMX63"/>
      <c r="AMY63"/>
      <c r="AMZ63"/>
      <c r="ANA63"/>
      <c r="ANB63"/>
      <c r="ANC63"/>
      <c r="AND63"/>
      <c r="ANE63"/>
      <c r="ANF63"/>
      <c r="ANG63"/>
      <c r="ANH63"/>
      <c r="ANI63"/>
      <c r="ANJ63"/>
      <c r="ANK63"/>
      <c r="ANL63"/>
      <c r="ANM63"/>
      <c r="ANN63"/>
      <c r="ANO63"/>
      <c r="ANP63"/>
      <c r="ANQ63"/>
      <c r="ANR63"/>
      <c r="ANS63"/>
      <c r="ANT63"/>
      <c r="ANU63"/>
      <c r="ANV63"/>
      <c r="ANW63"/>
      <c r="ANX63"/>
      <c r="ANY63"/>
      <c r="ANZ63"/>
      <c r="AOA63"/>
      <c r="AOB63"/>
      <c r="AOC63"/>
      <c r="AOD63"/>
      <c r="AOE63"/>
      <c r="AOF63"/>
      <c r="AOG63"/>
      <c r="AOH63"/>
      <c r="AOI63"/>
      <c r="AOJ63"/>
      <c r="AOK63"/>
      <c r="AOL63"/>
      <c r="AOM63"/>
      <c r="AON63"/>
      <c r="AOO63"/>
      <c r="AOP63"/>
      <c r="AOQ63"/>
      <c r="AOR63"/>
      <c r="AOS63"/>
      <c r="AOT63"/>
      <c r="AOU63"/>
      <c r="AOV63"/>
      <c r="AOW63"/>
      <c r="AOX63"/>
      <c r="AOY63"/>
      <c r="AOZ63"/>
      <c r="APA63"/>
      <c r="APB63"/>
      <c r="APC63"/>
      <c r="APD63"/>
      <c r="APE63"/>
      <c r="APF63"/>
      <c r="APG63"/>
      <c r="APH63"/>
      <c r="API63"/>
      <c r="APJ63"/>
      <c r="APK63"/>
      <c r="APL63"/>
      <c r="APM63"/>
      <c r="APN63"/>
      <c r="APO63"/>
      <c r="APP63"/>
      <c r="APQ63"/>
      <c r="APR63"/>
      <c r="APS63"/>
      <c r="APT63"/>
      <c r="APU63"/>
      <c r="APV63"/>
      <c r="APW63"/>
      <c r="APX63"/>
      <c r="APY63"/>
      <c r="APZ63"/>
      <c r="AQA63"/>
      <c r="AQB63"/>
      <c r="AQC63"/>
      <c r="AQD63"/>
      <c r="AQE63"/>
      <c r="AQF63"/>
      <c r="AQG63"/>
      <c r="AQH63"/>
      <c r="AQI63"/>
      <c r="AQJ63"/>
      <c r="AQK63"/>
      <c r="AQL63"/>
      <c r="AQM63"/>
      <c r="AQN63"/>
      <c r="AQO63"/>
      <c r="AQP63"/>
      <c r="AQQ63"/>
      <c r="AQR63"/>
      <c r="AQS63"/>
      <c r="AQT63"/>
      <c r="AQU63"/>
      <c r="AQV63"/>
      <c r="AQW63"/>
      <c r="AQX63"/>
      <c r="AQY63"/>
      <c r="AQZ63"/>
      <c r="ARA63"/>
      <c r="ARB63"/>
      <c r="ARC63"/>
      <c r="ARD63"/>
      <c r="ARE63"/>
      <c r="ARF63"/>
      <c r="ARG63"/>
      <c r="ARH63"/>
      <c r="ARI63"/>
      <c r="ARJ63"/>
      <c r="ARK63"/>
      <c r="ARL63"/>
      <c r="ARM63"/>
      <c r="ARN63"/>
      <c r="ARO63"/>
      <c r="ARP63"/>
      <c r="ARQ63"/>
      <c r="ARR63"/>
      <c r="ARS63"/>
      <c r="ART63"/>
      <c r="ARU63"/>
      <c r="ARV63"/>
      <c r="ARW63"/>
      <c r="ARX63"/>
      <c r="ARY63"/>
      <c r="ARZ63"/>
      <c r="ASA63"/>
      <c r="ASB63"/>
      <c r="ASC63"/>
      <c r="ASD63"/>
      <c r="ASE63"/>
      <c r="ASF63"/>
      <c r="ASG63"/>
      <c r="ASH63"/>
      <c r="ASI63"/>
      <c r="ASJ63"/>
      <c r="ASK63"/>
      <c r="ASL63"/>
      <c r="ASM63"/>
      <c r="ASN63"/>
      <c r="ASO63"/>
      <c r="ASP63"/>
      <c r="ASQ63"/>
      <c r="ASR63"/>
      <c r="ASS63"/>
      <c r="AST63"/>
      <c r="ASU63"/>
      <c r="ASV63"/>
      <c r="ASW63"/>
      <c r="ASX63"/>
      <c r="ASY63"/>
      <c r="ASZ63"/>
      <c r="ATA63"/>
      <c r="ATB63"/>
      <c r="ATC63"/>
      <c r="ATD63"/>
      <c r="ATE63"/>
      <c r="ATF63"/>
      <c r="ATG63"/>
      <c r="ATH63"/>
      <c r="ATI63"/>
      <c r="ATJ63"/>
      <c r="ATK63"/>
      <c r="ATL63"/>
      <c r="ATM63"/>
      <c r="ATN63"/>
      <c r="ATO63"/>
      <c r="ATP63"/>
      <c r="ATQ63"/>
      <c r="ATR63"/>
      <c r="ATS63"/>
      <c r="ATT63"/>
      <c r="ATU63"/>
      <c r="ATV63"/>
      <c r="ATW63"/>
      <c r="ATX63"/>
      <c r="ATY63"/>
      <c r="ATZ63"/>
      <c r="AUA63"/>
      <c r="AUB63"/>
      <c r="AUC63"/>
      <c r="AUD63"/>
      <c r="AUE63"/>
      <c r="AUF63"/>
      <c r="AUG63"/>
      <c r="AUH63"/>
      <c r="AUI63"/>
      <c r="AUJ63"/>
      <c r="AUK63"/>
      <c r="AUL63"/>
      <c r="AUM63"/>
      <c r="AUN63"/>
      <c r="AUO63"/>
      <c r="AUP63"/>
      <c r="AUQ63"/>
      <c r="AUR63"/>
      <c r="AUS63"/>
      <c r="AUT63"/>
      <c r="AUU63"/>
      <c r="AUV63"/>
      <c r="AUW63"/>
      <c r="AUX63"/>
      <c r="AUY63"/>
      <c r="AUZ63"/>
      <c r="AVA63"/>
      <c r="AVB63"/>
      <c r="AVC63"/>
      <c r="AVD63"/>
      <c r="AVE63"/>
      <c r="AVF63"/>
      <c r="AVG63"/>
      <c r="AVH63"/>
      <c r="AVI63"/>
      <c r="AVJ63"/>
      <c r="AVK63"/>
      <c r="AVL63"/>
      <c r="AVM63"/>
      <c r="AVN63"/>
      <c r="AVO63"/>
      <c r="AVP63"/>
      <c r="AVQ63"/>
      <c r="AVR63"/>
      <c r="AVS63"/>
      <c r="AVT63"/>
      <c r="AVU63"/>
      <c r="AVV63"/>
      <c r="AVW63"/>
      <c r="AVX63"/>
      <c r="AVY63"/>
      <c r="AVZ63"/>
      <c r="AWA63"/>
      <c r="AWB63"/>
      <c r="AWC63"/>
      <c r="AWD63"/>
      <c r="AWE63"/>
      <c r="AWF63"/>
      <c r="AWG63"/>
      <c r="AWH63"/>
      <c r="AWI63"/>
      <c r="AWJ63"/>
      <c r="AWK63"/>
      <c r="AWL63"/>
      <c r="AWM63"/>
      <c r="AWN63"/>
      <c r="AWO63"/>
      <c r="AWP63"/>
      <c r="AWQ63"/>
      <c r="AWR63"/>
      <c r="AWS63"/>
      <c r="AWT63"/>
      <c r="AWU63"/>
      <c r="AWV63"/>
      <c r="AWW63"/>
      <c r="AWX63"/>
      <c r="AWY63"/>
      <c r="AWZ63"/>
      <c r="AXA63"/>
      <c r="AXB63"/>
      <c r="AXC63"/>
      <c r="AXD63"/>
      <c r="AXE63"/>
      <c r="AXF63"/>
      <c r="AXG63"/>
      <c r="AXH63"/>
      <c r="AXI63"/>
      <c r="AXJ63"/>
      <c r="AXK63"/>
      <c r="AXL63"/>
      <c r="AXM63"/>
      <c r="AXN63"/>
      <c r="AXO63"/>
      <c r="AXP63"/>
      <c r="AXQ63"/>
      <c r="AXR63"/>
      <c r="AXS63"/>
      <c r="AXT63"/>
      <c r="AXU63"/>
      <c r="AXV63"/>
      <c r="AXW63"/>
      <c r="AXX63"/>
      <c r="AXY63"/>
      <c r="AXZ63"/>
      <c r="AYA63"/>
      <c r="AYB63"/>
      <c r="AYC63"/>
      <c r="AYD63"/>
      <c r="AYE63"/>
      <c r="AYF63"/>
      <c r="AYG63"/>
      <c r="AYH63"/>
      <c r="AYI63"/>
      <c r="AYJ63"/>
      <c r="AYK63"/>
      <c r="AYL63"/>
      <c r="AYM63"/>
      <c r="AYN63"/>
      <c r="AYO63"/>
      <c r="AYP63"/>
      <c r="AYQ63"/>
      <c r="AYR63"/>
      <c r="AYS63"/>
      <c r="AYT63"/>
      <c r="AYU63"/>
      <c r="AYV63"/>
      <c r="AYW63"/>
      <c r="AYX63"/>
      <c r="AYY63"/>
      <c r="AYZ63"/>
      <c r="AZA63"/>
      <c r="AZB63"/>
      <c r="AZC63"/>
      <c r="AZD63"/>
      <c r="AZE63"/>
      <c r="AZF63"/>
      <c r="AZG63"/>
      <c r="AZH63"/>
      <c r="AZI63"/>
      <c r="AZJ63"/>
      <c r="AZK63"/>
      <c r="AZL63"/>
      <c r="AZM63"/>
      <c r="AZN63"/>
      <c r="AZO63"/>
      <c r="AZP63"/>
      <c r="AZQ63"/>
      <c r="AZR63"/>
      <c r="AZS63"/>
      <c r="AZT63"/>
      <c r="AZU63"/>
      <c r="AZV63"/>
      <c r="AZW63"/>
      <c r="AZX63"/>
      <c r="AZY63"/>
      <c r="AZZ63"/>
      <c r="BAA63"/>
      <c r="BAB63"/>
      <c r="BAC63"/>
      <c r="BAD63"/>
      <c r="BAE63"/>
      <c r="BAF63"/>
      <c r="BAG63"/>
      <c r="BAH63"/>
      <c r="BAI63"/>
      <c r="BAJ63"/>
      <c r="BAK63"/>
      <c r="BAL63"/>
      <c r="BAM63"/>
      <c r="BAN63"/>
      <c r="BAO63"/>
      <c r="BAP63"/>
      <c r="BAQ63"/>
      <c r="BAR63"/>
      <c r="BAS63"/>
      <c r="BAT63"/>
      <c r="BAU63"/>
      <c r="BAV63"/>
      <c r="BAW63"/>
      <c r="BAX63"/>
      <c r="BAY63"/>
      <c r="BAZ63"/>
      <c r="BBA63"/>
      <c r="BBB63"/>
      <c r="BBC63"/>
      <c r="BBD63"/>
      <c r="BBE63"/>
      <c r="BBF63"/>
      <c r="BBG63"/>
      <c r="BBH63"/>
      <c r="BBI63"/>
      <c r="BBJ63"/>
      <c r="BBK63"/>
      <c r="BBL63"/>
      <c r="BBM63"/>
      <c r="BBN63"/>
      <c r="BBO63"/>
      <c r="BBP63"/>
      <c r="BBQ63"/>
      <c r="BBR63"/>
      <c r="BBS63"/>
      <c r="BBT63"/>
      <c r="BBU63"/>
      <c r="BBV63"/>
      <c r="BBW63"/>
      <c r="BBX63"/>
      <c r="BBY63"/>
      <c r="BBZ63"/>
      <c r="BCA63"/>
      <c r="BCB63"/>
      <c r="BCC63"/>
      <c r="BCD63"/>
      <c r="BCE63"/>
      <c r="BCF63"/>
      <c r="BCG63"/>
      <c r="BCH63"/>
      <c r="BCI63"/>
      <c r="BCJ63"/>
      <c r="BCK63"/>
      <c r="BCL63"/>
      <c r="BCM63"/>
      <c r="BCN63"/>
      <c r="BCO63"/>
      <c r="BCP63"/>
      <c r="BCQ63"/>
      <c r="BCR63"/>
      <c r="BCS63"/>
      <c r="BCT63"/>
      <c r="BCU63"/>
      <c r="BCV63"/>
      <c r="BCW63"/>
      <c r="BCX63"/>
      <c r="BCY63"/>
      <c r="BCZ63"/>
      <c r="BDA63"/>
      <c r="BDB63"/>
      <c r="BDC63"/>
      <c r="BDD63"/>
      <c r="BDE63"/>
      <c r="BDF63"/>
      <c r="BDG63"/>
      <c r="BDH63"/>
      <c r="BDI63"/>
      <c r="BDJ63"/>
      <c r="BDK63"/>
      <c r="BDL63"/>
      <c r="BDM63"/>
      <c r="BDN63"/>
      <c r="BDO63"/>
      <c r="BDP63"/>
      <c r="BDQ63"/>
      <c r="BDR63"/>
      <c r="BDS63"/>
      <c r="BDT63"/>
      <c r="BDU63"/>
      <c r="BDV63"/>
      <c r="BDW63"/>
      <c r="BDX63"/>
      <c r="BDY63"/>
      <c r="BDZ63"/>
      <c r="BEA63"/>
      <c r="BEB63"/>
      <c r="BEC63"/>
      <c r="BED63"/>
      <c r="BEE63"/>
      <c r="BEF63"/>
      <c r="BEG63"/>
      <c r="BEH63"/>
      <c r="BEI63"/>
      <c r="BEJ63"/>
      <c r="BEK63"/>
      <c r="BEL63"/>
      <c r="BEM63"/>
      <c r="BEN63"/>
      <c r="BEO63"/>
      <c r="BEP63"/>
      <c r="BEQ63"/>
      <c r="BER63"/>
      <c r="BES63"/>
      <c r="BET63"/>
      <c r="BEU63"/>
      <c r="BEV63"/>
      <c r="BEW63"/>
      <c r="BEX63"/>
      <c r="BEY63"/>
      <c r="BEZ63"/>
      <c r="BFA63"/>
      <c r="BFB63"/>
      <c r="BFC63"/>
      <c r="BFD63"/>
      <c r="BFE63"/>
      <c r="BFF63"/>
      <c r="BFG63"/>
      <c r="BFH63"/>
      <c r="BFI63"/>
      <c r="BFJ63"/>
      <c r="BFK63"/>
      <c r="BFL63"/>
      <c r="BFM63"/>
      <c r="BFN63"/>
      <c r="BFO63"/>
      <c r="BFP63"/>
      <c r="BFQ63"/>
      <c r="BFR63"/>
      <c r="BFS63"/>
      <c r="BFT63"/>
      <c r="BFU63"/>
      <c r="BFV63"/>
      <c r="BFW63"/>
      <c r="BFX63"/>
      <c r="BFY63"/>
      <c r="BFZ63"/>
      <c r="BGA63"/>
      <c r="BGB63"/>
      <c r="BGC63"/>
      <c r="BGD63"/>
      <c r="BGE63"/>
      <c r="BGF63"/>
      <c r="BGG63"/>
      <c r="BGH63"/>
      <c r="BGI63"/>
      <c r="BGJ63"/>
      <c r="BGK63"/>
      <c r="BGL63"/>
      <c r="BGM63"/>
      <c r="BGN63"/>
      <c r="BGO63"/>
      <c r="BGP63"/>
      <c r="BGQ63"/>
      <c r="BGR63"/>
      <c r="BGS63"/>
      <c r="BGT63"/>
      <c r="BGU63"/>
      <c r="BGV63"/>
      <c r="BGW63"/>
      <c r="BGX63"/>
      <c r="BGY63"/>
      <c r="BGZ63"/>
      <c r="BHA63"/>
      <c r="BHB63"/>
      <c r="BHC63"/>
      <c r="BHD63"/>
      <c r="BHE63"/>
      <c r="BHF63"/>
      <c r="BHG63"/>
      <c r="BHH63"/>
      <c r="BHI63"/>
      <c r="BHJ63"/>
      <c r="BHK63"/>
      <c r="BHL63"/>
      <c r="BHM63"/>
      <c r="BHN63"/>
      <c r="BHO63"/>
      <c r="BHP63"/>
      <c r="BHQ63"/>
      <c r="BHR63"/>
      <c r="BHS63"/>
      <c r="BHT63"/>
      <c r="BHU63"/>
      <c r="BHV63"/>
      <c r="BHW63"/>
      <c r="BHX63"/>
      <c r="BHY63"/>
      <c r="BHZ63"/>
      <c r="BIA63"/>
      <c r="BIB63"/>
      <c r="BIC63"/>
      <c r="BID63"/>
      <c r="BIE63"/>
      <c r="BIF63"/>
      <c r="BIG63"/>
      <c r="BIH63"/>
      <c r="BII63"/>
      <c r="BIJ63"/>
      <c r="BIK63"/>
      <c r="BIL63"/>
      <c r="BIM63"/>
      <c r="BIN63"/>
      <c r="BIO63"/>
      <c r="BIP63"/>
      <c r="BIQ63"/>
      <c r="BIR63"/>
      <c r="BIS63"/>
      <c r="BIT63"/>
      <c r="BIU63"/>
      <c r="BIV63"/>
      <c r="BIW63"/>
      <c r="BIX63"/>
      <c r="BIY63"/>
      <c r="BIZ63"/>
      <c r="BJA63"/>
      <c r="BJB63"/>
      <c r="BJC63"/>
      <c r="BJD63"/>
      <c r="BJE63"/>
      <c r="BJF63"/>
      <c r="BJG63"/>
      <c r="BJH63"/>
      <c r="BJI63"/>
      <c r="BJJ63"/>
      <c r="BJK63"/>
      <c r="BJL63"/>
      <c r="BJM63"/>
      <c r="BJN63"/>
      <c r="BJO63"/>
      <c r="BJP63"/>
      <c r="BJQ63"/>
      <c r="BJR63"/>
      <c r="BJS63"/>
      <c r="BJT63"/>
      <c r="BJU63"/>
      <c r="BJV63"/>
      <c r="BJW63"/>
      <c r="BJX63"/>
      <c r="BJY63"/>
      <c r="BJZ63"/>
      <c r="BKA63"/>
      <c r="BKB63"/>
      <c r="BKC63"/>
      <c r="BKD63"/>
      <c r="BKE63"/>
      <c r="BKF63"/>
      <c r="BKG63"/>
      <c r="BKH63"/>
      <c r="BKI63"/>
      <c r="BKJ63"/>
      <c r="BKK63"/>
      <c r="BKL63"/>
      <c r="BKM63"/>
      <c r="BKN63"/>
      <c r="BKO63"/>
      <c r="BKP63"/>
      <c r="BKQ63"/>
      <c r="BKR63"/>
      <c r="BKS63"/>
      <c r="BKT63"/>
      <c r="BKU63"/>
      <c r="BKV63"/>
      <c r="BKW63"/>
      <c r="BKX63"/>
      <c r="BKY63"/>
      <c r="BKZ63"/>
      <c r="BLA63"/>
      <c r="BLB63"/>
      <c r="BLC63"/>
      <c r="BLD63"/>
      <c r="BLE63"/>
      <c r="BLF63"/>
      <c r="BLG63"/>
      <c r="BLH63"/>
      <c r="BLI63"/>
      <c r="BLJ63"/>
      <c r="BLK63"/>
      <c r="BLL63"/>
      <c r="BLM63"/>
      <c r="BLN63"/>
      <c r="BLO63"/>
      <c r="BLP63"/>
      <c r="BLQ63"/>
      <c r="BLR63"/>
      <c r="BLS63"/>
      <c r="BLT63"/>
      <c r="BLU63"/>
      <c r="BLV63"/>
      <c r="BLW63"/>
      <c r="BLX63"/>
      <c r="BLY63"/>
      <c r="BLZ63"/>
      <c r="BMA63"/>
      <c r="BMB63"/>
      <c r="BMC63"/>
      <c r="BMD63"/>
      <c r="BME63"/>
      <c r="BMF63"/>
      <c r="BMG63"/>
      <c r="BMH63"/>
      <c r="BMI63"/>
      <c r="BMJ63"/>
      <c r="BMK63"/>
      <c r="BML63"/>
      <c r="BMM63"/>
      <c r="BMN63"/>
      <c r="BMO63"/>
      <c r="BMP63"/>
      <c r="BMQ63"/>
      <c r="BMR63"/>
      <c r="BMS63"/>
      <c r="BMT63"/>
      <c r="BMU63"/>
      <c r="BMV63"/>
      <c r="BMW63"/>
      <c r="BMX63"/>
      <c r="BMY63"/>
      <c r="BMZ63"/>
      <c r="BNA63"/>
      <c r="BNB63"/>
      <c r="BNC63"/>
      <c r="BND63"/>
      <c r="BNE63"/>
      <c r="BNF63"/>
      <c r="BNG63"/>
      <c r="BNH63"/>
      <c r="BNI63"/>
      <c r="BNJ63"/>
      <c r="BNK63"/>
      <c r="BNL63"/>
      <c r="BNM63"/>
      <c r="BNN63"/>
      <c r="BNO63"/>
      <c r="BNP63"/>
      <c r="BNQ63"/>
      <c r="BNR63"/>
      <c r="BNS63"/>
      <c r="BNT63"/>
      <c r="BNU63"/>
      <c r="BNV63"/>
      <c r="BNW63"/>
      <c r="BNX63"/>
      <c r="BNY63"/>
      <c r="BNZ63"/>
      <c r="BOA63"/>
      <c r="BOB63"/>
      <c r="BOC63"/>
      <c r="BOD63"/>
      <c r="BOE63"/>
      <c r="BOF63"/>
      <c r="BOG63"/>
      <c r="BOH63"/>
      <c r="BOI63"/>
      <c r="BOJ63"/>
      <c r="BOK63"/>
      <c r="BOL63"/>
      <c r="BOM63"/>
      <c r="BON63"/>
      <c r="BOO63"/>
      <c r="BOP63"/>
      <c r="BOQ63"/>
      <c r="BOR63"/>
      <c r="BOS63"/>
      <c r="BOT63"/>
      <c r="BOU63"/>
      <c r="BOV63"/>
      <c r="BOW63"/>
      <c r="BOX63"/>
      <c r="BOY63"/>
      <c r="BOZ63"/>
      <c r="BPA63"/>
      <c r="BPB63"/>
      <c r="BPC63"/>
      <c r="BPD63"/>
      <c r="BPE63"/>
      <c r="BPF63"/>
      <c r="BPG63"/>
      <c r="BPH63"/>
      <c r="BPI63"/>
      <c r="BPJ63"/>
      <c r="BPK63"/>
      <c r="BPL63"/>
      <c r="BPM63"/>
      <c r="BPN63"/>
      <c r="BPO63"/>
      <c r="BPP63"/>
      <c r="BPQ63"/>
      <c r="BPR63"/>
      <c r="BPS63"/>
      <c r="BPT63"/>
      <c r="BPU63"/>
      <c r="BPV63"/>
      <c r="BPW63"/>
      <c r="BPX63"/>
      <c r="BPY63"/>
      <c r="BPZ63"/>
      <c r="BQA63"/>
      <c r="BQB63"/>
      <c r="BQC63"/>
      <c r="BQD63"/>
      <c r="BQE63"/>
      <c r="BQF63"/>
      <c r="BQG63"/>
      <c r="BQH63"/>
      <c r="BQI63"/>
      <c r="BQJ63"/>
      <c r="BQK63"/>
      <c r="BQL63"/>
      <c r="BQM63"/>
      <c r="BQN63"/>
      <c r="BQO63"/>
      <c r="BQP63"/>
      <c r="BQQ63"/>
      <c r="BQR63"/>
      <c r="BQS63"/>
      <c r="BQT63"/>
      <c r="BQU63"/>
      <c r="BQV63"/>
      <c r="BQW63"/>
      <c r="BQX63"/>
      <c r="BQY63"/>
      <c r="BQZ63"/>
      <c r="BRA63"/>
      <c r="BRB63"/>
      <c r="BRC63"/>
      <c r="BRD63"/>
      <c r="BRE63"/>
      <c r="BRF63"/>
      <c r="BRG63"/>
      <c r="BRH63"/>
      <c r="BRI63"/>
      <c r="BRJ63"/>
      <c r="BRK63"/>
      <c r="BRL63"/>
      <c r="BRM63"/>
      <c r="BRN63"/>
      <c r="BRO63"/>
      <c r="BRP63"/>
      <c r="BRQ63"/>
      <c r="BRR63"/>
      <c r="BRS63"/>
      <c r="BRT63"/>
      <c r="BRU63"/>
      <c r="BRV63"/>
      <c r="BRW63"/>
      <c r="BRX63"/>
      <c r="BRY63"/>
      <c r="BRZ63"/>
      <c r="BSA63"/>
      <c r="BSB63"/>
      <c r="BSC63"/>
      <c r="BSD63"/>
      <c r="BSE63"/>
      <c r="BSF63"/>
      <c r="BSG63"/>
      <c r="BSH63"/>
      <c r="BSI63"/>
      <c r="BSJ63"/>
      <c r="BSK63"/>
      <c r="BSL63"/>
      <c r="BSM63"/>
      <c r="BSN63"/>
      <c r="BSO63"/>
      <c r="BSP63"/>
      <c r="BSQ63"/>
      <c r="BSR63"/>
      <c r="BSS63"/>
      <c r="BST63"/>
      <c r="BSU63"/>
      <c r="BSV63"/>
      <c r="BSW63"/>
      <c r="BSX63"/>
      <c r="BSY63"/>
      <c r="BSZ63"/>
      <c r="BTA63"/>
      <c r="BTB63"/>
      <c r="BTC63"/>
      <c r="BTD63"/>
      <c r="BTE63"/>
      <c r="BTF63"/>
      <c r="BTG63"/>
      <c r="BTH63"/>
      <c r="BTI63"/>
      <c r="BTJ63"/>
      <c r="BTK63"/>
      <c r="BTL63"/>
      <c r="BTM63"/>
      <c r="BTN63"/>
      <c r="BTO63"/>
      <c r="BTP63"/>
      <c r="BTQ63"/>
      <c r="BTR63"/>
      <c r="BTS63"/>
      <c r="BTT63"/>
      <c r="BTU63"/>
      <c r="BTV63"/>
      <c r="BTW63"/>
      <c r="BTX63"/>
      <c r="BTY63"/>
      <c r="BTZ63"/>
      <c r="BUA63"/>
      <c r="BUB63"/>
      <c r="BUC63"/>
      <c r="BUD63"/>
      <c r="BUE63"/>
      <c r="BUF63"/>
      <c r="BUG63"/>
      <c r="BUH63"/>
      <c r="BUI63"/>
      <c r="BUJ63"/>
      <c r="BUK63"/>
      <c r="BUL63"/>
      <c r="BUM63"/>
      <c r="BUN63"/>
      <c r="BUO63"/>
      <c r="BUP63"/>
      <c r="BUQ63"/>
      <c r="BUR63"/>
      <c r="BUS63"/>
      <c r="BUT63"/>
      <c r="BUU63"/>
      <c r="BUV63"/>
      <c r="BUW63"/>
      <c r="BUX63"/>
      <c r="BUY63"/>
      <c r="BUZ63"/>
      <c r="BVA63"/>
      <c r="BVB63"/>
      <c r="BVC63"/>
      <c r="BVD63"/>
      <c r="BVE63"/>
      <c r="BVF63"/>
      <c r="BVG63"/>
      <c r="BVH63"/>
      <c r="BVI63"/>
      <c r="BVJ63"/>
      <c r="BVK63"/>
      <c r="BVL63"/>
      <c r="BVM63"/>
      <c r="BVN63"/>
      <c r="BVO63"/>
      <c r="BVP63"/>
      <c r="BVQ63"/>
      <c r="BVR63"/>
      <c r="BVS63"/>
      <c r="BVT63"/>
      <c r="BVU63"/>
      <c r="BVV63"/>
      <c r="BVW63"/>
      <c r="BVX63"/>
      <c r="BVY63"/>
      <c r="BVZ63"/>
      <c r="BWA63"/>
      <c r="BWB63"/>
      <c r="BWC63"/>
      <c r="BWD63"/>
      <c r="BWE63"/>
      <c r="BWF63"/>
      <c r="BWG63"/>
      <c r="BWH63"/>
      <c r="BWI63"/>
      <c r="BWJ63"/>
      <c r="BWK63"/>
      <c r="BWL63"/>
      <c r="BWM63"/>
      <c r="BWN63"/>
      <c r="BWO63"/>
      <c r="BWP63"/>
      <c r="BWQ63"/>
      <c r="BWR63"/>
      <c r="BWS63"/>
      <c r="BWT63"/>
      <c r="BWU63"/>
      <c r="BWV63"/>
      <c r="BWW63"/>
      <c r="BWX63"/>
      <c r="BWY63"/>
      <c r="BWZ63"/>
      <c r="BXA63"/>
      <c r="BXB63"/>
      <c r="BXC63"/>
      <c r="BXD63"/>
      <c r="BXE63"/>
      <c r="BXF63"/>
      <c r="BXG63"/>
      <c r="BXH63"/>
      <c r="BXI63"/>
      <c r="BXJ63"/>
      <c r="BXK63"/>
      <c r="BXL63"/>
      <c r="BXM63"/>
      <c r="BXN63"/>
      <c r="BXO63"/>
      <c r="BXP63"/>
      <c r="BXQ63"/>
      <c r="BXR63"/>
      <c r="BXS63"/>
      <c r="BXT63"/>
      <c r="BXU63"/>
      <c r="BXV63"/>
      <c r="BXW63"/>
      <c r="BXX63"/>
      <c r="BXY63"/>
      <c r="BXZ63"/>
      <c r="BYA63"/>
      <c r="BYB63"/>
      <c r="BYC63"/>
      <c r="BYD63"/>
      <c r="BYE63"/>
      <c r="BYF63"/>
      <c r="BYG63"/>
    </row>
    <row r="64" spans="1:2009" s="89" customFormat="1" ht="27" customHeight="1" x14ac:dyDescent="0.25">
      <c r="A64" s="650" t="s">
        <v>455</v>
      </c>
      <c r="B64" s="651"/>
      <c r="C64" s="652"/>
      <c r="D64" s="653">
        <v>1250</v>
      </c>
      <c r="E64" s="653"/>
      <c r="F64" s="653"/>
      <c r="G64" s="654">
        <f>SUM(C64:F64)</f>
        <v>1250</v>
      </c>
      <c r="H64"/>
      <c r="I64" s="21"/>
      <c r="J64" s="78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AJE64"/>
      <c r="AJF64"/>
      <c r="AJG64"/>
      <c r="AJH64"/>
      <c r="AJI64"/>
      <c r="AJJ64"/>
      <c r="AJK64"/>
      <c r="AJL64"/>
      <c r="AJM64"/>
      <c r="AJN64"/>
      <c r="AJO64"/>
      <c r="AJP64"/>
      <c r="AJQ64"/>
      <c r="AJR64"/>
      <c r="AJS64"/>
      <c r="AJT64"/>
      <c r="AJU64"/>
      <c r="AJV64"/>
      <c r="AJW64"/>
      <c r="AJX64"/>
      <c r="AJY64"/>
      <c r="AJZ64"/>
      <c r="AKA64"/>
      <c r="AKB64"/>
      <c r="AKC64"/>
      <c r="AKD64"/>
      <c r="AKE64"/>
      <c r="AKF64"/>
      <c r="AKG64"/>
      <c r="AKH64"/>
      <c r="AKI64"/>
      <c r="AKJ64"/>
      <c r="AKK64"/>
      <c r="AKL64"/>
      <c r="AKM64"/>
      <c r="AKN64"/>
      <c r="AKO64"/>
      <c r="AKP64"/>
      <c r="AKQ64"/>
      <c r="AKR64"/>
      <c r="AKS64"/>
      <c r="AKT64"/>
      <c r="AKU64"/>
      <c r="AKV64"/>
      <c r="AKW64"/>
      <c r="AKX64"/>
      <c r="AKY64"/>
      <c r="AKZ64"/>
      <c r="ALA64"/>
      <c r="ALB64"/>
      <c r="ALC64"/>
      <c r="ALD64"/>
      <c r="ALE64"/>
      <c r="ALF64"/>
      <c r="ALG64"/>
      <c r="ALH64"/>
      <c r="ALI64"/>
      <c r="ALJ64"/>
      <c r="ALK64"/>
      <c r="ALL64"/>
      <c r="ALM64"/>
      <c r="ALN64"/>
      <c r="ALO64"/>
      <c r="ALP64"/>
      <c r="ALQ64"/>
      <c r="ALR64"/>
      <c r="ALS64"/>
      <c r="ALT64"/>
      <c r="ALU64"/>
      <c r="ALV64"/>
      <c r="ALW64"/>
      <c r="ALX64"/>
      <c r="ALY64"/>
      <c r="ALZ64"/>
      <c r="AMA64"/>
      <c r="AMB64"/>
      <c r="AMC64"/>
      <c r="AMD64"/>
      <c r="AME64"/>
      <c r="AMF64"/>
      <c r="AMG64"/>
      <c r="AMH64"/>
      <c r="AMI64"/>
      <c r="AMJ64"/>
      <c r="AMK64"/>
      <c r="AML64"/>
      <c r="AMM64"/>
      <c r="AMN64"/>
      <c r="AMO64"/>
      <c r="AMP64"/>
      <c r="AMQ64"/>
      <c r="AMR64"/>
      <c r="AMS64"/>
      <c r="AMT64"/>
      <c r="AMU64"/>
      <c r="AMV64"/>
      <c r="AMW64"/>
      <c r="AMX64"/>
      <c r="AMY64"/>
      <c r="AMZ64"/>
      <c r="ANA64"/>
      <c r="ANB64"/>
      <c r="ANC64"/>
      <c r="AND64"/>
      <c r="ANE64"/>
      <c r="ANF64"/>
      <c r="ANG64"/>
      <c r="ANH64"/>
      <c r="ANI64"/>
      <c r="ANJ64"/>
      <c r="ANK64"/>
      <c r="ANL64"/>
      <c r="ANM64"/>
      <c r="ANN64"/>
      <c r="ANO64"/>
      <c r="ANP64"/>
      <c r="ANQ64"/>
      <c r="ANR64"/>
      <c r="ANS64"/>
      <c r="ANT64"/>
      <c r="ANU64"/>
      <c r="ANV64"/>
      <c r="ANW64"/>
      <c r="ANX64"/>
      <c r="ANY64"/>
      <c r="ANZ64"/>
      <c r="AOA64"/>
      <c r="AOB64"/>
      <c r="AOC64"/>
      <c r="AOD64"/>
      <c r="AOE64"/>
      <c r="AOF64"/>
      <c r="AOG64"/>
      <c r="AOH64"/>
      <c r="AOI64"/>
      <c r="AOJ64"/>
      <c r="AOK64"/>
      <c r="AOL64"/>
      <c r="AOM64"/>
      <c r="AON64"/>
      <c r="AOO64"/>
      <c r="AOP64"/>
      <c r="AOQ64"/>
      <c r="AOR64"/>
      <c r="AOS64"/>
      <c r="AOT64"/>
      <c r="AOU64"/>
      <c r="AOV64"/>
      <c r="AOW64"/>
      <c r="AOX64"/>
      <c r="AOY64"/>
      <c r="AOZ64"/>
      <c r="APA64"/>
      <c r="APB64"/>
      <c r="APC64"/>
      <c r="APD64"/>
      <c r="APE64"/>
      <c r="APF64"/>
      <c r="APG64"/>
      <c r="APH64"/>
      <c r="API64"/>
      <c r="APJ64"/>
      <c r="APK64"/>
      <c r="APL64"/>
      <c r="APM64"/>
      <c r="APN64"/>
      <c r="APO64"/>
      <c r="APP64"/>
      <c r="APQ64"/>
      <c r="APR64"/>
      <c r="APS64"/>
      <c r="APT64"/>
      <c r="APU64"/>
      <c r="APV64"/>
      <c r="APW64"/>
      <c r="APX64"/>
      <c r="APY64"/>
      <c r="APZ64"/>
      <c r="AQA64"/>
      <c r="AQB64"/>
      <c r="AQC64"/>
      <c r="AQD64"/>
      <c r="AQE64"/>
      <c r="AQF64"/>
      <c r="AQG64"/>
      <c r="AQH64"/>
      <c r="AQI64"/>
      <c r="AQJ64"/>
      <c r="AQK64"/>
      <c r="AQL64"/>
      <c r="AQM64"/>
      <c r="AQN64"/>
      <c r="AQO64"/>
      <c r="AQP64"/>
      <c r="AQQ64"/>
      <c r="AQR64"/>
      <c r="AQS64"/>
      <c r="AQT64"/>
      <c r="AQU64"/>
      <c r="AQV64"/>
      <c r="AQW64"/>
      <c r="AQX64"/>
      <c r="AQY64"/>
      <c r="AQZ64"/>
      <c r="ARA64"/>
      <c r="ARB64"/>
      <c r="ARC64"/>
      <c r="ARD64"/>
      <c r="ARE64"/>
      <c r="ARF64"/>
      <c r="ARG64"/>
      <c r="ARH64"/>
      <c r="ARI64"/>
      <c r="ARJ64"/>
      <c r="ARK64"/>
      <c r="ARL64"/>
      <c r="ARM64"/>
      <c r="ARN64"/>
      <c r="ARO64"/>
      <c r="ARP64"/>
      <c r="ARQ64"/>
      <c r="ARR64"/>
      <c r="ARS64"/>
      <c r="ART64"/>
      <c r="ARU64"/>
      <c r="ARV64"/>
      <c r="ARW64"/>
      <c r="ARX64"/>
      <c r="ARY64"/>
      <c r="ARZ64"/>
      <c r="ASA64"/>
      <c r="ASB64"/>
      <c r="ASC64"/>
      <c r="ASD64"/>
      <c r="ASE64"/>
      <c r="ASF64"/>
      <c r="ASG64"/>
      <c r="ASH64"/>
      <c r="ASI64"/>
      <c r="ASJ64"/>
      <c r="ASK64"/>
      <c r="ASL64"/>
      <c r="ASM64"/>
      <c r="ASN64"/>
      <c r="ASO64"/>
      <c r="ASP64"/>
      <c r="ASQ64"/>
      <c r="ASR64"/>
      <c r="ASS64"/>
      <c r="AST64"/>
      <c r="ASU64"/>
      <c r="ASV64"/>
      <c r="ASW64"/>
      <c r="ASX64"/>
      <c r="ASY64"/>
      <c r="ASZ64"/>
      <c r="ATA64"/>
      <c r="ATB64"/>
      <c r="ATC64"/>
      <c r="ATD64"/>
      <c r="ATE64"/>
      <c r="ATF64"/>
      <c r="ATG64"/>
      <c r="ATH64"/>
      <c r="ATI64"/>
      <c r="ATJ64"/>
      <c r="ATK64"/>
      <c r="ATL64"/>
      <c r="ATM64"/>
      <c r="ATN64"/>
      <c r="ATO64"/>
      <c r="ATP64"/>
      <c r="ATQ64"/>
      <c r="ATR64"/>
      <c r="ATS64"/>
      <c r="ATT64"/>
      <c r="ATU64"/>
      <c r="ATV64"/>
      <c r="ATW64"/>
      <c r="ATX64"/>
      <c r="ATY64"/>
      <c r="ATZ64"/>
      <c r="AUA64"/>
      <c r="AUB64"/>
      <c r="AUC64"/>
      <c r="AUD64"/>
      <c r="AUE64"/>
      <c r="AUF64"/>
      <c r="AUG64"/>
      <c r="AUH64"/>
      <c r="AUI64"/>
      <c r="AUJ64"/>
      <c r="AUK64"/>
      <c r="AUL64"/>
      <c r="AUM64"/>
      <c r="AUN64"/>
      <c r="AUO64"/>
      <c r="AUP64"/>
      <c r="AUQ64"/>
      <c r="AUR64"/>
      <c r="AUS64"/>
      <c r="AUT64"/>
      <c r="AUU64"/>
      <c r="AUV64"/>
      <c r="AUW64"/>
      <c r="AUX64"/>
      <c r="AUY64"/>
      <c r="AUZ64"/>
      <c r="AVA64"/>
      <c r="AVB64"/>
      <c r="AVC64"/>
      <c r="AVD64"/>
      <c r="AVE64"/>
      <c r="AVF64"/>
      <c r="AVG64"/>
      <c r="AVH64"/>
      <c r="AVI64"/>
      <c r="AVJ64"/>
      <c r="AVK64"/>
      <c r="AVL64"/>
      <c r="AVM64"/>
      <c r="AVN64"/>
      <c r="AVO64"/>
      <c r="AVP64"/>
      <c r="AVQ64"/>
      <c r="AVR64"/>
      <c r="AVS64"/>
      <c r="AVT64"/>
      <c r="AVU64"/>
      <c r="AVV64"/>
      <c r="AVW64"/>
      <c r="AVX64"/>
      <c r="AVY64"/>
      <c r="AVZ64"/>
      <c r="AWA64"/>
      <c r="AWB64"/>
      <c r="AWC64"/>
      <c r="AWD64"/>
      <c r="AWE64"/>
      <c r="AWF64"/>
      <c r="AWG64"/>
      <c r="AWH64"/>
      <c r="AWI64"/>
      <c r="AWJ64"/>
      <c r="AWK64"/>
      <c r="AWL64"/>
      <c r="AWM64"/>
      <c r="AWN64"/>
      <c r="AWO64"/>
      <c r="AWP64"/>
      <c r="AWQ64"/>
      <c r="AWR64"/>
      <c r="AWS64"/>
      <c r="AWT64"/>
      <c r="AWU64"/>
      <c r="AWV64"/>
      <c r="AWW64"/>
      <c r="AWX64"/>
      <c r="AWY64"/>
      <c r="AWZ64"/>
      <c r="AXA64"/>
      <c r="AXB64"/>
      <c r="AXC64"/>
      <c r="AXD64"/>
      <c r="AXE64"/>
      <c r="AXF64"/>
      <c r="AXG64"/>
      <c r="AXH64"/>
      <c r="AXI64"/>
      <c r="AXJ64"/>
      <c r="AXK64"/>
      <c r="AXL64"/>
      <c r="AXM64"/>
      <c r="AXN64"/>
      <c r="AXO64"/>
      <c r="AXP64"/>
      <c r="AXQ64"/>
      <c r="AXR64"/>
      <c r="AXS64"/>
      <c r="AXT64"/>
      <c r="AXU64"/>
      <c r="AXV64"/>
      <c r="AXW64"/>
      <c r="AXX64"/>
      <c r="AXY64"/>
      <c r="AXZ64"/>
      <c r="AYA64"/>
      <c r="AYB64"/>
      <c r="AYC64"/>
      <c r="AYD64"/>
      <c r="AYE64"/>
      <c r="AYF64"/>
      <c r="AYG64"/>
      <c r="AYH64"/>
      <c r="AYI64"/>
      <c r="AYJ64"/>
      <c r="AYK64"/>
      <c r="AYL64"/>
      <c r="AYM64"/>
      <c r="AYN64"/>
      <c r="AYO64"/>
      <c r="AYP64"/>
      <c r="AYQ64"/>
      <c r="AYR64"/>
      <c r="AYS64"/>
      <c r="AYT64"/>
      <c r="AYU64"/>
      <c r="AYV64"/>
      <c r="AYW64"/>
      <c r="AYX64"/>
      <c r="AYY64"/>
      <c r="AYZ64"/>
      <c r="AZA64"/>
      <c r="AZB64"/>
      <c r="AZC64"/>
      <c r="AZD64"/>
      <c r="AZE64"/>
      <c r="AZF64"/>
      <c r="AZG64"/>
      <c r="AZH64"/>
      <c r="AZI64"/>
      <c r="AZJ64"/>
      <c r="AZK64"/>
      <c r="AZL64"/>
      <c r="AZM64"/>
      <c r="AZN64"/>
      <c r="AZO64"/>
      <c r="AZP64"/>
      <c r="AZQ64"/>
      <c r="AZR64"/>
      <c r="AZS64"/>
      <c r="AZT64"/>
      <c r="AZU64"/>
      <c r="AZV64"/>
      <c r="AZW64"/>
      <c r="AZX64"/>
      <c r="AZY64"/>
      <c r="AZZ64"/>
      <c r="BAA64"/>
      <c r="BAB64"/>
      <c r="BAC64"/>
      <c r="BAD64"/>
      <c r="BAE64"/>
      <c r="BAF64"/>
      <c r="BAG64"/>
      <c r="BAH64"/>
      <c r="BAI64"/>
      <c r="BAJ64"/>
      <c r="BAK64"/>
      <c r="BAL64"/>
      <c r="BAM64"/>
      <c r="BAN64"/>
      <c r="BAO64"/>
      <c r="BAP64"/>
      <c r="BAQ64"/>
      <c r="BAR64"/>
      <c r="BAS64"/>
      <c r="BAT64"/>
      <c r="BAU64"/>
      <c r="BAV64"/>
      <c r="BAW64"/>
      <c r="BAX64"/>
      <c r="BAY64"/>
      <c r="BAZ64"/>
      <c r="BBA64"/>
      <c r="BBB64"/>
      <c r="BBC64"/>
      <c r="BBD64"/>
      <c r="BBE64"/>
      <c r="BBF64"/>
      <c r="BBG64"/>
      <c r="BBH64"/>
      <c r="BBI64"/>
      <c r="BBJ64"/>
      <c r="BBK64"/>
      <c r="BBL64"/>
      <c r="BBM64"/>
      <c r="BBN64"/>
      <c r="BBO64"/>
      <c r="BBP64"/>
      <c r="BBQ64"/>
      <c r="BBR64"/>
      <c r="BBS64"/>
      <c r="BBT64"/>
      <c r="BBU64"/>
      <c r="BBV64"/>
      <c r="BBW64"/>
      <c r="BBX64"/>
      <c r="BBY64"/>
      <c r="BBZ64"/>
      <c r="BCA64"/>
      <c r="BCB64"/>
      <c r="BCC64"/>
      <c r="BCD64"/>
      <c r="BCE64"/>
      <c r="BCF64"/>
      <c r="BCG64"/>
      <c r="BCH64"/>
      <c r="BCI64"/>
      <c r="BCJ64"/>
      <c r="BCK64"/>
      <c r="BCL64"/>
      <c r="BCM64"/>
      <c r="BCN64"/>
      <c r="BCO64"/>
      <c r="BCP64"/>
      <c r="BCQ64"/>
      <c r="BCR64"/>
      <c r="BCS64"/>
      <c r="BCT64"/>
      <c r="BCU64"/>
      <c r="BCV64"/>
      <c r="BCW64"/>
      <c r="BCX64"/>
      <c r="BCY64"/>
      <c r="BCZ64"/>
      <c r="BDA64"/>
      <c r="BDB64"/>
      <c r="BDC64"/>
      <c r="BDD64"/>
      <c r="BDE64"/>
      <c r="BDF64"/>
      <c r="BDG64"/>
      <c r="BDH64"/>
      <c r="BDI64"/>
      <c r="BDJ64"/>
      <c r="BDK64"/>
      <c r="BDL64"/>
      <c r="BDM64"/>
      <c r="BDN64"/>
      <c r="BDO64"/>
      <c r="BDP64"/>
      <c r="BDQ64"/>
      <c r="BDR64"/>
      <c r="BDS64"/>
      <c r="BDT64"/>
      <c r="BDU64"/>
      <c r="BDV64"/>
      <c r="BDW64"/>
      <c r="BDX64"/>
      <c r="BDY64"/>
      <c r="BDZ64"/>
      <c r="BEA64"/>
      <c r="BEB64"/>
      <c r="BEC64"/>
      <c r="BED64"/>
      <c r="BEE64"/>
      <c r="BEF64"/>
      <c r="BEG64"/>
      <c r="BEH64"/>
      <c r="BEI64"/>
      <c r="BEJ64"/>
      <c r="BEK64"/>
      <c r="BEL64"/>
      <c r="BEM64"/>
      <c r="BEN64"/>
      <c r="BEO64"/>
      <c r="BEP64"/>
      <c r="BEQ64"/>
      <c r="BER64"/>
      <c r="BES64"/>
      <c r="BET64"/>
      <c r="BEU64"/>
      <c r="BEV64"/>
      <c r="BEW64"/>
      <c r="BEX64"/>
      <c r="BEY64"/>
      <c r="BEZ64"/>
      <c r="BFA64"/>
      <c r="BFB64"/>
      <c r="BFC64"/>
      <c r="BFD64"/>
      <c r="BFE64"/>
      <c r="BFF64"/>
      <c r="BFG64"/>
      <c r="BFH64"/>
      <c r="BFI64"/>
      <c r="BFJ64"/>
      <c r="BFK64"/>
      <c r="BFL64"/>
      <c r="BFM64"/>
      <c r="BFN64"/>
      <c r="BFO64"/>
      <c r="BFP64"/>
      <c r="BFQ64"/>
      <c r="BFR64"/>
      <c r="BFS64"/>
      <c r="BFT64"/>
      <c r="BFU64"/>
      <c r="BFV64"/>
      <c r="BFW64"/>
      <c r="BFX64"/>
      <c r="BFY64"/>
      <c r="BFZ64"/>
      <c r="BGA64"/>
      <c r="BGB64"/>
      <c r="BGC64"/>
      <c r="BGD64"/>
      <c r="BGE64"/>
      <c r="BGF64"/>
      <c r="BGG64"/>
      <c r="BGH64"/>
      <c r="BGI64"/>
      <c r="BGJ64"/>
      <c r="BGK64"/>
      <c r="BGL64"/>
      <c r="BGM64"/>
      <c r="BGN64"/>
      <c r="BGO64"/>
      <c r="BGP64"/>
      <c r="BGQ64"/>
      <c r="BGR64"/>
      <c r="BGS64"/>
      <c r="BGT64"/>
      <c r="BGU64"/>
      <c r="BGV64"/>
      <c r="BGW64"/>
      <c r="BGX64"/>
      <c r="BGY64"/>
      <c r="BGZ64"/>
      <c r="BHA64"/>
      <c r="BHB64"/>
      <c r="BHC64"/>
      <c r="BHD64"/>
      <c r="BHE64"/>
      <c r="BHF64"/>
      <c r="BHG64"/>
      <c r="BHH64"/>
      <c r="BHI64"/>
      <c r="BHJ64"/>
      <c r="BHK64"/>
      <c r="BHL64"/>
      <c r="BHM64"/>
      <c r="BHN64"/>
      <c r="BHO64"/>
      <c r="BHP64"/>
      <c r="BHQ64"/>
      <c r="BHR64"/>
      <c r="BHS64"/>
      <c r="BHT64"/>
      <c r="BHU64"/>
      <c r="BHV64"/>
      <c r="BHW64"/>
      <c r="BHX64"/>
      <c r="BHY64"/>
      <c r="BHZ64"/>
      <c r="BIA64"/>
      <c r="BIB64"/>
      <c r="BIC64"/>
      <c r="BID64"/>
      <c r="BIE64"/>
      <c r="BIF64"/>
      <c r="BIG64"/>
      <c r="BIH64"/>
      <c r="BII64"/>
      <c r="BIJ64"/>
      <c r="BIK64"/>
      <c r="BIL64"/>
      <c r="BIM64"/>
      <c r="BIN64"/>
      <c r="BIO64"/>
      <c r="BIP64"/>
      <c r="BIQ64"/>
      <c r="BIR64"/>
      <c r="BIS64"/>
      <c r="BIT64"/>
      <c r="BIU64"/>
      <c r="BIV64"/>
      <c r="BIW64"/>
      <c r="BIX64"/>
      <c r="BIY64"/>
      <c r="BIZ64"/>
      <c r="BJA64"/>
      <c r="BJB64"/>
      <c r="BJC64"/>
      <c r="BJD64"/>
      <c r="BJE64"/>
      <c r="BJF64"/>
      <c r="BJG64"/>
      <c r="BJH64"/>
      <c r="BJI64"/>
      <c r="BJJ64"/>
      <c r="BJK64"/>
      <c r="BJL64"/>
      <c r="BJM64"/>
      <c r="BJN64"/>
      <c r="BJO64"/>
      <c r="BJP64"/>
      <c r="BJQ64"/>
      <c r="BJR64"/>
      <c r="BJS64"/>
      <c r="BJT64"/>
      <c r="BJU64"/>
      <c r="BJV64"/>
      <c r="BJW64"/>
      <c r="BJX64"/>
      <c r="BJY64"/>
      <c r="BJZ64"/>
      <c r="BKA64"/>
      <c r="BKB64"/>
      <c r="BKC64"/>
      <c r="BKD64"/>
      <c r="BKE64"/>
      <c r="BKF64"/>
      <c r="BKG64"/>
      <c r="BKH64"/>
      <c r="BKI64"/>
      <c r="BKJ64"/>
      <c r="BKK64"/>
      <c r="BKL64"/>
      <c r="BKM64"/>
      <c r="BKN64"/>
      <c r="BKO64"/>
      <c r="BKP64"/>
      <c r="BKQ64"/>
      <c r="BKR64"/>
      <c r="BKS64"/>
      <c r="BKT64"/>
      <c r="BKU64"/>
      <c r="BKV64"/>
      <c r="BKW64"/>
      <c r="BKX64"/>
      <c r="BKY64"/>
      <c r="BKZ64"/>
      <c r="BLA64"/>
      <c r="BLB64"/>
      <c r="BLC64"/>
      <c r="BLD64"/>
      <c r="BLE64"/>
      <c r="BLF64"/>
      <c r="BLG64"/>
      <c r="BLH64"/>
      <c r="BLI64"/>
      <c r="BLJ64"/>
      <c r="BLK64"/>
      <c r="BLL64"/>
      <c r="BLM64"/>
      <c r="BLN64"/>
      <c r="BLO64"/>
      <c r="BLP64"/>
      <c r="BLQ64"/>
      <c r="BLR64"/>
      <c r="BLS64"/>
      <c r="BLT64"/>
      <c r="BLU64"/>
      <c r="BLV64"/>
      <c r="BLW64"/>
      <c r="BLX64"/>
      <c r="BLY64"/>
      <c r="BLZ64"/>
      <c r="BMA64"/>
      <c r="BMB64"/>
      <c r="BMC64"/>
      <c r="BMD64"/>
      <c r="BME64"/>
      <c r="BMF64"/>
      <c r="BMG64"/>
      <c r="BMH64"/>
      <c r="BMI64"/>
      <c r="BMJ64"/>
      <c r="BMK64"/>
      <c r="BML64"/>
      <c r="BMM64"/>
      <c r="BMN64"/>
      <c r="BMO64"/>
      <c r="BMP64"/>
      <c r="BMQ64"/>
      <c r="BMR64"/>
      <c r="BMS64"/>
      <c r="BMT64"/>
      <c r="BMU64"/>
      <c r="BMV64"/>
      <c r="BMW64"/>
      <c r="BMX64"/>
      <c r="BMY64"/>
      <c r="BMZ64"/>
      <c r="BNA64"/>
      <c r="BNB64"/>
      <c r="BNC64"/>
      <c r="BND64"/>
      <c r="BNE64"/>
      <c r="BNF64"/>
      <c r="BNG64"/>
      <c r="BNH64"/>
      <c r="BNI64"/>
      <c r="BNJ64"/>
      <c r="BNK64"/>
      <c r="BNL64"/>
      <c r="BNM64"/>
      <c r="BNN64"/>
      <c r="BNO64"/>
      <c r="BNP64"/>
      <c r="BNQ64"/>
      <c r="BNR64"/>
      <c r="BNS64"/>
      <c r="BNT64"/>
      <c r="BNU64"/>
      <c r="BNV64"/>
      <c r="BNW64"/>
      <c r="BNX64"/>
      <c r="BNY64"/>
      <c r="BNZ64"/>
      <c r="BOA64"/>
      <c r="BOB64"/>
      <c r="BOC64"/>
      <c r="BOD64"/>
      <c r="BOE64"/>
      <c r="BOF64"/>
      <c r="BOG64"/>
      <c r="BOH64"/>
      <c r="BOI64"/>
      <c r="BOJ64"/>
      <c r="BOK64"/>
      <c r="BOL64"/>
      <c r="BOM64"/>
      <c r="BON64"/>
      <c r="BOO64"/>
      <c r="BOP64"/>
      <c r="BOQ64"/>
      <c r="BOR64"/>
      <c r="BOS64"/>
      <c r="BOT64"/>
      <c r="BOU64"/>
      <c r="BOV64"/>
      <c r="BOW64"/>
      <c r="BOX64"/>
      <c r="BOY64"/>
      <c r="BOZ64"/>
      <c r="BPA64"/>
      <c r="BPB64"/>
      <c r="BPC64"/>
      <c r="BPD64"/>
      <c r="BPE64"/>
      <c r="BPF64"/>
      <c r="BPG64"/>
      <c r="BPH64"/>
      <c r="BPI64"/>
      <c r="BPJ64"/>
      <c r="BPK64"/>
      <c r="BPL64"/>
      <c r="BPM64"/>
      <c r="BPN64"/>
      <c r="BPO64"/>
      <c r="BPP64"/>
      <c r="BPQ64"/>
      <c r="BPR64"/>
      <c r="BPS64"/>
      <c r="BPT64"/>
      <c r="BPU64"/>
      <c r="BPV64"/>
      <c r="BPW64"/>
      <c r="BPX64"/>
      <c r="BPY64"/>
      <c r="BPZ64"/>
      <c r="BQA64"/>
      <c r="BQB64"/>
      <c r="BQC64"/>
      <c r="BQD64"/>
      <c r="BQE64"/>
      <c r="BQF64"/>
      <c r="BQG64"/>
      <c r="BQH64"/>
      <c r="BQI64"/>
      <c r="BQJ64"/>
      <c r="BQK64"/>
      <c r="BQL64"/>
      <c r="BQM64"/>
      <c r="BQN64"/>
      <c r="BQO64"/>
      <c r="BQP64"/>
      <c r="BQQ64"/>
      <c r="BQR64"/>
      <c r="BQS64"/>
      <c r="BQT64"/>
      <c r="BQU64"/>
      <c r="BQV64"/>
      <c r="BQW64"/>
      <c r="BQX64"/>
      <c r="BQY64"/>
      <c r="BQZ64"/>
      <c r="BRA64"/>
      <c r="BRB64"/>
      <c r="BRC64"/>
      <c r="BRD64"/>
      <c r="BRE64"/>
      <c r="BRF64"/>
      <c r="BRG64"/>
      <c r="BRH64"/>
      <c r="BRI64"/>
      <c r="BRJ64"/>
      <c r="BRK64"/>
      <c r="BRL64"/>
      <c r="BRM64"/>
      <c r="BRN64"/>
      <c r="BRO64"/>
      <c r="BRP64"/>
      <c r="BRQ64"/>
      <c r="BRR64"/>
      <c r="BRS64"/>
      <c r="BRT64"/>
      <c r="BRU64"/>
      <c r="BRV64"/>
      <c r="BRW64"/>
      <c r="BRX64"/>
      <c r="BRY64"/>
      <c r="BRZ64"/>
      <c r="BSA64"/>
      <c r="BSB64"/>
      <c r="BSC64"/>
      <c r="BSD64"/>
      <c r="BSE64"/>
      <c r="BSF64"/>
      <c r="BSG64"/>
      <c r="BSH64"/>
      <c r="BSI64"/>
      <c r="BSJ64"/>
      <c r="BSK64"/>
      <c r="BSL64"/>
      <c r="BSM64"/>
      <c r="BSN64"/>
      <c r="BSO64"/>
      <c r="BSP64"/>
      <c r="BSQ64"/>
      <c r="BSR64"/>
      <c r="BSS64"/>
      <c r="BST64"/>
      <c r="BSU64"/>
      <c r="BSV64"/>
      <c r="BSW64"/>
      <c r="BSX64"/>
      <c r="BSY64"/>
      <c r="BSZ64"/>
      <c r="BTA64"/>
      <c r="BTB64"/>
      <c r="BTC64"/>
      <c r="BTD64"/>
      <c r="BTE64"/>
      <c r="BTF64"/>
      <c r="BTG64"/>
      <c r="BTH64"/>
      <c r="BTI64"/>
      <c r="BTJ64"/>
      <c r="BTK64"/>
      <c r="BTL64"/>
      <c r="BTM64"/>
      <c r="BTN64"/>
      <c r="BTO64"/>
      <c r="BTP64"/>
      <c r="BTQ64"/>
      <c r="BTR64"/>
      <c r="BTS64"/>
      <c r="BTT64"/>
      <c r="BTU64"/>
      <c r="BTV64"/>
      <c r="BTW64"/>
      <c r="BTX64"/>
      <c r="BTY64"/>
      <c r="BTZ64"/>
      <c r="BUA64"/>
      <c r="BUB64"/>
      <c r="BUC64"/>
      <c r="BUD64"/>
      <c r="BUE64"/>
      <c r="BUF64"/>
      <c r="BUG64"/>
      <c r="BUH64"/>
      <c r="BUI64"/>
      <c r="BUJ64"/>
      <c r="BUK64"/>
      <c r="BUL64"/>
      <c r="BUM64"/>
      <c r="BUN64"/>
      <c r="BUO64"/>
      <c r="BUP64"/>
      <c r="BUQ64"/>
      <c r="BUR64"/>
      <c r="BUS64"/>
      <c r="BUT64"/>
      <c r="BUU64"/>
      <c r="BUV64"/>
      <c r="BUW64"/>
      <c r="BUX64"/>
      <c r="BUY64"/>
      <c r="BUZ64"/>
      <c r="BVA64"/>
      <c r="BVB64"/>
      <c r="BVC64"/>
      <c r="BVD64"/>
      <c r="BVE64"/>
      <c r="BVF64"/>
      <c r="BVG64"/>
      <c r="BVH64"/>
      <c r="BVI64"/>
      <c r="BVJ64"/>
      <c r="BVK64"/>
      <c r="BVL64"/>
      <c r="BVM64"/>
      <c r="BVN64"/>
      <c r="BVO64"/>
      <c r="BVP64"/>
      <c r="BVQ64"/>
      <c r="BVR64"/>
      <c r="BVS64"/>
      <c r="BVT64"/>
      <c r="BVU64"/>
      <c r="BVV64"/>
      <c r="BVW64"/>
      <c r="BVX64"/>
      <c r="BVY64"/>
      <c r="BVZ64"/>
      <c r="BWA64"/>
      <c r="BWB64"/>
      <c r="BWC64"/>
      <c r="BWD64"/>
      <c r="BWE64"/>
      <c r="BWF64"/>
      <c r="BWG64"/>
      <c r="BWH64"/>
      <c r="BWI64"/>
      <c r="BWJ64"/>
      <c r="BWK64"/>
      <c r="BWL64"/>
      <c r="BWM64"/>
      <c r="BWN64"/>
      <c r="BWO64"/>
      <c r="BWP64"/>
      <c r="BWQ64"/>
      <c r="BWR64"/>
      <c r="BWS64"/>
      <c r="BWT64"/>
      <c r="BWU64"/>
      <c r="BWV64"/>
      <c r="BWW64"/>
      <c r="BWX64"/>
      <c r="BWY64"/>
      <c r="BWZ64"/>
      <c r="BXA64"/>
      <c r="BXB64"/>
      <c r="BXC64"/>
      <c r="BXD64"/>
      <c r="BXE64"/>
      <c r="BXF64"/>
      <c r="BXG64"/>
      <c r="BXH64"/>
      <c r="BXI64"/>
      <c r="BXJ64"/>
      <c r="BXK64"/>
      <c r="BXL64"/>
      <c r="BXM64"/>
      <c r="BXN64"/>
      <c r="BXO64"/>
      <c r="BXP64"/>
      <c r="BXQ64"/>
      <c r="BXR64"/>
      <c r="BXS64"/>
      <c r="BXT64"/>
      <c r="BXU64"/>
      <c r="BXV64"/>
      <c r="BXW64"/>
      <c r="BXX64"/>
      <c r="BXY64"/>
      <c r="BXZ64"/>
      <c r="BYA64"/>
      <c r="BYB64"/>
      <c r="BYC64"/>
      <c r="BYD64"/>
      <c r="BYE64"/>
      <c r="BYF64"/>
      <c r="BYG64"/>
    </row>
    <row r="65" spans="1:2009" s="89" customFormat="1" ht="24.95" customHeight="1" thickBot="1" x14ac:dyDescent="0.3">
      <c r="A65" s="655" t="s">
        <v>337</v>
      </c>
      <c r="B65" s="656"/>
      <c r="C65" s="657"/>
      <c r="D65" s="658">
        <v>1625</v>
      </c>
      <c r="E65" s="658"/>
      <c r="F65" s="658">
        <v>1625</v>
      </c>
      <c r="G65" s="659">
        <f>SUM(C65:F65)</f>
        <v>3250</v>
      </c>
      <c r="H65"/>
      <c r="I65" s="21"/>
      <c r="J65" s="784"/>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F65"/>
      <c r="AMG65"/>
      <c r="AMH65"/>
      <c r="AMI65"/>
      <c r="AMJ65"/>
      <c r="AMK65"/>
      <c r="AML65"/>
      <c r="AMM65"/>
      <c r="AMN65"/>
      <c r="AMO65"/>
      <c r="AMP65"/>
      <c r="AMQ65"/>
      <c r="AMR65"/>
      <c r="AMS65"/>
      <c r="AMT65"/>
      <c r="AMU65"/>
      <c r="AMV65"/>
      <c r="AMW65"/>
      <c r="AMX65"/>
      <c r="AMY65"/>
      <c r="AMZ65"/>
      <c r="ANA65"/>
      <c r="ANB65"/>
      <c r="ANC65"/>
      <c r="AND65"/>
      <c r="ANE65"/>
      <c r="ANF65"/>
      <c r="ANG65"/>
      <c r="ANH65"/>
      <c r="ANI65"/>
      <c r="ANJ65"/>
      <c r="ANK65"/>
      <c r="ANL65"/>
      <c r="ANM65"/>
      <c r="ANN65"/>
      <c r="ANO65"/>
      <c r="ANP65"/>
      <c r="ANQ65"/>
      <c r="ANR65"/>
      <c r="ANS65"/>
      <c r="ANT65"/>
      <c r="ANU65"/>
      <c r="ANV65"/>
      <c r="ANW65"/>
      <c r="ANX65"/>
      <c r="ANY65"/>
      <c r="ANZ65"/>
      <c r="AOA65"/>
      <c r="AOB65"/>
      <c r="AOC65"/>
      <c r="AOD65"/>
      <c r="AOE65"/>
      <c r="AOF65"/>
      <c r="AOG65"/>
      <c r="AOH65"/>
      <c r="AOI65"/>
      <c r="AOJ65"/>
      <c r="AOK65"/>
      <c r="AOL65"/>
      <c r="AOM65"/>
      <c r="AON65"/>
      <c r="AOO65"/>
      <c r="AOP65"/>
      <c r="AOQ65"/>
      <c r="AOR65"/>
      <c r="AOS65"/>
      <c r="AOT65"/>
      <c r="AOU65"/>
      <c r="AOV65"/>
      <c r="AOW65"/>
      <c r="AOX65"/>
      <c r="AOY65"/>
      <c r="AOZ65"/>
      <c r="APA65"/>
      <c r="APB65"/>
      <c r="APC65"/>
      <c r="APD65"/>
      <c r="APE65"/>
      <c r="APF65"/>
      <c r="APG65"/>
      <c r="APH65"/>
      <c r="API65"/>
      <c r="APJ65"/>
      <c r="APK65"/>
      <c r="APL65"/>
      <c r="APM65"/>
      <c r="APN65"/>
      <c r="APO65"/>
      <c r="APP65"/>
      <c r="APQ65"/>
      <c r="APR65"/>
      <c r="APS65"/>
      <c r="APT65"/>
      <c r="APU65"/>
      <c r="APV65"/>
      <c r="APW65"/>
      <c r="APX65"/>
      <c r="APY65"/>
      <c r="APZ65"/>
      <c r="AQA65"/>
      <c r="AQB65"/>
      <c r="AQC65"/>
      <c r="AQD65"/>
      <c r="AQE65"/>
      <c r="AQF65"/>
      <c r="AQG65"/>
      <c r="AQH65"/>
      <c r="AQI65"/>
      <c r="AQJ65"/>
      <c r="AQK65"/>
      <c r="AQL65"/>
      <c r="AQM65"/>
      <c r="AQN65"/>
      <c r="AQO65"/>
      <c r="AQP65"/>
      <c r="AQQ65"/>
      <c r="AQR65"/>
      <c r="AQS65"/>
      <c r="AQT65"/>
      <c r="AQU65"/>
      <c r="AQV65"/>
      <c r="AQW65"/>
      <c r="AQX65"/>
      <c r="AQY65"/>
      <c r="AQZ65"/>
      <c r="ARA65"/>
      <c r="ARB65"/>
      <c r="ARC65"/>
      <c r="ARD65"/>
      <c r="ARE65"/>
      <c r="ARF65"/>
      <c r="ARG65"/>
      <c r="ARH65"/>
      <c r="ARI65"/>
      <c r="ARJ65"/>
      <c r="ARK65"/>
      <c r="ARL65"/>
      <c r="ARM65"/>
      <c r="ARN65"/>
      <c r="ARO65"/>
      <c r="ARP65"/>
      <c r="ARQ65"/>
      <c r="ARR65"/>
      <c r="ARS65"/>
      <c r="ART65"/>
      <c r="ARU65"/>
      <c r="ARV65"/>
      <c r="ARW65"/>
      <c r="ARX65"/>
      <c r="ARY65"/>
      <c r="ARZ65"/>
      <c r="ASA65"/>
      <c r="ASB65"/>
      <c r="ASC65"/>
      <c r="ASD65"/>
      <c r="ASE65"/>
      <c r="ASF65"/>
      <c r="ASG65"/>
      <c r="ASH65"/>
      <c r="ASI65"/>
      <c r="ASJ65"/>
      <c r="ASK65"/>
      <c r="ASL65"/>
      <c r="ASM65"/>
      <c r="ASN65"/>
      <c r="ASO65"/>
      <c r="ASP65"/>
      <c r="ASQ65"/>
      <c r="ASR65"/>
      <c r="ASS65"/>
      <c r="AST65"/>
      <c r="ASU65"/>
      <c r="ASV65"/>
      <c r="ASW65"/>
      <c r="ASX65"/>
      <c r="ASY65"/>
      <c r="ASZ65"/>
      <c r="ATA65"/>
      <c r="ATB65"/>
      <c r="ATC65"/>
      <c r="ATD65"/>
      <c r="ATE65"/>
      <c r="ATF65"/>
      <c r="ATG65"/>
      <c r="ATH65"/>
      <c r="ATI65"/>
      <c r="ATJ65"/>
      <c r="ATK65"/>
      <c r="ATL65"/>
      <c r="ATM65"/>
      <c r="ATN65"/>
      <c r="ATO65"/>
      <c r="ATP65"/>
      <c r="ATQ65"/>
      <c r="ATR65"/>
      <c r="ATS65"/>
      <c r="ATT65"/>
      <c r="ATU65"/>
      <c r="ATV65"/>
      <c r="ATW65"/>
      <c r="ATX65"/>
      <c r="ATY65"/>
      <c r="ATZ65"/>
      <c r="AUA65"/>
      <c r="AUB65"/>
      <c r="AUC65"/>
      <c r="AUD65"/>
      <c r="AUE65"/>
      <c r="AUF65"/>
      <c r="AUG65"/>
      <c r="AUH65"/>
      <c r="AUI65"/>
      <c r="AUJ65"/>
      <c r="AUK65"/>
      <c r="AUL65"/>
      <c r="AUM65"/>
      <c r="AUN65"/>
      <c r="AUO65"/>
      <c r="AUP65"/>
      <c r="AUQ65"/>
      <c r="AUR65"/>
      <c r="AUS65"/>
      <c r="AUT65"/>
      <c r="AUU65"/>
      <c r="AUV65"/>
      <c r="AUW65"/>
      <c r="AUX65"/>
      <c r="AUY65"/>
      <c r="AUZ65"/>
      <c r="AVA65"/>
      <c r="AVB65"/>
      <c r="AVC65"/>
      <c r="AVD65"/>
      <c r="AVE65"/>
      <c r="AVF65"/>
      <c r="AVG65"/>
      <c r="AVH65"/>
      <c r="AVI65"/>
      <c r="AVJ65"/>
      <c r="AVK65"/>
      <c r="AVL65"/>
      <c r="AVM65"/>
      <c r="AVN65"/>
      <c r="AVO65"/>
      <c r="AVP65"/>
      <c r="AVQ65"/>
      <c r="AVR65"/>
      <c r="AVS65"/>
      <c r="AVT65"/>
      <c r="AVU65"/>
      <c r="AVV65"/>
      <c r="AVW65"/>
      <c r="AVX65"/>
      <c r="AVY65"/>
      <c r="AVZ65"/>
      <c r="AWA65"/>
      <c r="AWB65"/>
      <c r="AWC65"/>
      <c r="AWD65"/>
      <c r="AWE65"/>
      <c r="AWF65"/>
      <c r="AWG65"/>
      <c r="AWH65"/>
      <c r="AWI65"/>
      <c r="AWJ65"/>
      <c r="AWK65"/>
      <c r="AWL65"/>
      <c r="AWM65"/>
      <c r="AWN65"/>
      <c r="AWO65"/>
      <c r="AWP65"/>
      <c r="AWQ65"/>
      <c r="AWR65"/>
      <c r="AWS65"/>
      <c r="AWT65"/>
      <c r="AWU65"/>
      <c r="AWV65"/>
      <c r="AWW65"/>
      <c r="AWX65"/>
      <c r="AWY65"/>
      <c r="AWZ65"/>
      <c r="AXA65"/>
      <c r="AXB65"/>
      <c r="AXC65"/>
      <c r="AXD65"/>
      <c r="AXE65"/>
      <c r="AXF65"/>
      <c r="AXG65"/>
      <c r="AXH65"/>
      <c r="AXI65"/>
      <c r="AXJ65"/>
      <c r="AXK65"/>
      <c r="AXL65"/>
      <c r="AXM65"/>
      <c r="AXN65"/>
      <c r="AXO65"/>
      <c r="AXP65"/>
      <c r="AXQ65"/>
      <c r="AXR65"/>
      <c r="AXS65"/>
      <c r="AXT65"/>
      <c r="AXU65"/>
      <c r="AXV65"/>
      <c r="AXW65"/>
      <c r="AXX65"/>
      <c r="AXY65"/>
      <c r="AXZ65"/>
      <c r="AYA65"/>
      <c r="AYB65"/>
      <c r="AYC65"/>
      <c r="AYD65"/>
      <c r="AYE65"/>
      <c r="AYF65"/>
      <c r="AYG65"/>
      <c r="AYH65"/>
      <c r="AYI65"/>
      <c r="AYJ65"/>
      <c r="AYK65"/>
      <c r="AYL65"/>
      <c r="AYM65"/>
      <c r="AYN65"/>
      <c r="AYO65"/>
      <c r="AYP65"/>
      <c r="AYQ65"/>
      <c r="AYR65"/>
      <c r="AYS65"/>
      <c r="AYT65"/>
      <c r="AYU65"/>
      <c r="AYV65"/>
      <c r="AYW65"/>
      <c r="AYX65"/>
      <c r="AYY65"/>
      <c r="AYZ65"/>
      <c r="AZA65"/>
      <c r="AZB65"/>
      <c r="AZC65"/>
      <c r="AZD65"/>
      <c r="AZE65"/>
      <c r="AZF65"/>
      <c r="AZG65"/>
      <c r="AZH65"/>
      <c r="AZI65"/>
      <c r="AZJ65"/>
      <c r="AZK65"/>
      <c r="AZL65"/>
      <c r="AZM65"/>
      <c r="AZN65"/>
      <c r="AZO65"/>
      <c r="AZP65"/>
      <c r="AZQ65"/>
      <c r="AZR65"/>
      <c r="AZS65"/>
      <c r="AZT65"/>
      <c r="AZU65"/>
      <c r="AZV65"/>
      <c r="AZW65"/>
      <c r="AZX65"/>
      <c r="AZY65"/>
      <c r="AZZ65"/>
      <c r="BAA65"/>
      <c r="BAB65"/>
      <c r="BAC65"/>
      <c r="BAD65"/>
      <c r="BAE65"/>
      <c r="BAF65"/>
      <c r="BAG65"/>
      <c r="BAH65"/>
      <c r="BAI65"/>
      <c r="BAJ65"/>
      <c r="BAK65"/>
      <c r="BAL65"/>
      <c r="BAM65"/>
      <c r="BAN65"/>
      <c r="BAO65"/>
      <c r="BAP65"/>
      <c r="BAQ65"/>
      <c r="BAR65"/>
      <c r="BAS65"/>
      <c r="BAT65"/>
      <c r="BAU65"/>
      <c r="BAV65"/>
      <c r="BAW65"/>
      <c r="BAX65"/>
      <c r="BAY65"/>
      <c r="BAZ65"/>
      <c r="BBA65"/>
      <c r="BBB65"/>
      <c r="BBC65"/>
      <c r="BBD65"/>
      <c r="BBE65"/>
      <c r="BBF65"/>
      <c r="BBG65"/>
      <c r="BBH65"/>
      <c r="BBI65"/>
      <c r="BBJ65"/>
      <c r="BBK65"/>
      <c r="BBL65"/>
      <c r="BBM65"/>
      <c r="BBN65"/>
      <c r="BBO65"/>
      <c r="BBP65"/>
      <c r="BBQ65"/>
      <c r="BBR65"/>
      <c r="BBS65"/>
      <c r="BBT65"/>
      <c r="BBU65"/>
      <c r="BBV65"/>
      <c r="BBW65"/>
      <c r="BBX65"/>
      <c r="BBY65"/>
      <c r="BBZ65"/>
      <c r="BCA65"/>
      <c r="BCB65"/>
      <c r="BCC65"/>
      <c r="BCD65"/>
      <c r="BCE65"/>
      <c r="BCF65"/>
      <c r="BCG65"/>
      <c r="BCH65"/>
      <c r="BCI65"/>
      <c r="BCJ65"/>
      <c r="BCK65"/>
      <c r="BCL65"/>
      <c r="BCM65"/>
      <c r="BCN65"/>
      <c r="BCO65"/>
      <c r="BCP65"/>
      <c r="BCQ65"/>
      <c r="BCR65"/>
      <c r="BCS65"/>
      <c r="BCT65"/>
      <c r="BCU65"/>
      <c r="BCV65"/>
      <c r="BCW65"/>
      <c r="BCX65"/>
      <c r="BCY65"/>
      <c r="BCZ65"/>
      <c r="BDA65"/>
      <c r="BDB65"/>
      <c r="BDC65"/>
      <c r="BDD65"/>
      <c r="BDE65"/>
      <c r="BDF65"/>
      <c r="BDG65"/>
      <c r="BDH65"/>
      <c r="BDI65"/>
      <c r="BDJ65"/>
      <c r="BDK65"/>
      <c r="BDL65"/>
      <c r="BDM65"/>
      <c r="BDN65"/>
      <c r="BDO65"/>
      <c r="BDP65"/>
      <c r="BDQ65"/>
      <c r="BDR65"/>
      <c r="BDS65"/>
      <c r="BDT65"/>
      <c r="BDU65"/>
      <c r="BDV65"/>
      <c r="BDW65"/>
      <c r="BDX65"/>
      <c r="BDY65"/>
      <c r="BDZ65"/>
      <c r="BEA65"/>
      <c r="BEB65"/>
      <c r="BEC65"/>
      <c r="BED65"/>
      <c r="BEE65"/>
      <c r="BEF65"/>
      <c r="BEG65"/>
      <c r="BEH65"/>
      <c r="BEI65"/>
      <c r="BEJ65"/>
      <c r="BEK65"/>
      <c r="BEL65"/>
      <c r="BEM65"/>
      <c r="BEN65"/>
      <c r="BEO65"/>
      <c r="BEP65"/>
      <c r="BEQ65"/>
      <c r="BER65"/>
      <c r="BES65"/>
      <c r="BET65"/>
      <c r="BEU65"/>
      <c r="BEV65"/>
      <c r="BEW65"/>
      <c r="BEX65"/>
      <c r="BEY65"/>
      <c r="BEZ65"/>
      <c r="BFA65"/>
      <c r="BFB65"/>
      <c r="BFC65"/>
      <c r="BFD65"/>
      <c r="BFE65"/>
      <c r="BFF65"/>
      <c r="BFG65"/>
      <c r="BFH65"/>
      <c r="BFI65"/>
      <c r="BFJ65"/>
      <c r="BFK65"/>
      <c r="BFL65"/>
      <c r="BFM65"/>
      <c r="BFN65"/>
      <c r="BFO65"/>
      <c r="BFP65"/>
      <c r="BFQ65"/>
      <c r="BFR65"/>
      <c r="BFS65"/>
      <c r="BFT65"/>
      <c r="BFU65"/>
      <c r="BFV65"/>
      <c r="BFW65"/>
      <c r="BFX65"/>
      <c r="BFY65"/>
      <c r="BFZ65"/>
      <c r="BGA65"/>
      <c r="BGB65"/>
      <c r="BGC65"/>
      <c r="BGD65"/>
      <c r="BGE65"/>
      <c r="BGF65"/>
      <c r="BGG65"/>
      <c r="BGH65"/>
      <c r="BGI65"/>
      <c r="BGJ65"/>
      <c r="BGK65"/>
      <c r="BGL65"/>
      <c r="BGM65"/>
      <c r="BGN65"/>
      <c r="BGO65"/>
      <c r="BGP65"/>
      <c r="BGQ65"/>
      <c r="BGR65"/>
      <c r="BGS65"/>
      <c r="BGT65"/>
      <c r="BGU65"/>
      <c r="BGV65"/>
      <c r="BGW65"/>
      <c r="BGX65"/>
      <c r="BGY65"/>
      <c r="BGZ65"/>
      <c r="BHA65"/>
      <c r="BHB65"/>
      <c r="BHC65"/>
      <c r="BHD65"/>
      <c r="BHE65"/>
      <c r="BHF65"/>
      <c r="BHG65"/>
      <c r="BHH65"/>
      <c r="BHI65"/>
      <c r="BHJ65"/>
      <c r="BHK65"/>
      <c r="BHL65"/>
      <c r="BHM65"/>
      <c r="BHN65"/>
      <c r="BHO65"/>
      <c r="BHP65"/>
      <c r="BHQ65"/>
      <c r="BHR65"/>
      <c r="BHS65"/>
      <c r="BHT65"/>
      <c r="BHU65"/>
      <c r="BHV65"/>
      <c r="BHW65"/>
      <c r="BHX65"/>
      <c r="BHY65"/>
      <c r="BHZ65"/>
      <c r="BIA65"/>
      <c r="BIB65"/>
      <c r="BIC65"/>
      <c r="BID65"/>
      <c r="BIE65"/>
      <c r="BIF65"/>
      <c r="BIG65"/>
      <c r="BIH65"/>
      <c r="BII65"/>
      <c r="BIJ65"/>
      <c r="BIK65"/>
      <c r="BIL65"/>
      <c r="BIM65"/>
      <c r="BIN65"/>
      <c r="BIO65"/>
      <c r="BIP65"/>
      <c r="BIQ65"/>
      <c r="BIR65"/>
      <c r="BIS65"/>
      <c r="BIT65"/>
      <c r="BIU65"/>
      <c r="BIV65"/>
      <c r="BIW65"/>
      <c r="BIX65"/>
      <c r="BIY65"/>
      <c r="BIZ65"/>
      <c r="BJA65"/>
      <c r="BJB65"/>
      <c r="BJC65"/>
      <c r="BJD65"/>
      <c r="BJE65"/>
      <c r="BJF65"/>
      <c r="BJG65"/>
      <c r="BJH65"/>
      <c r="BJI65"/>
      <c r="BJJ65"/>
      <c r="BJK65"/>
      <c r="BJL65"/>
      <c r="BJM65"/>
      <c r="BJN65"/>
      <c r="BJO65"/>
      <c r="BJP65"/>
      <c r="BJQ65"/>
      <c r="BJR65"/>
      <c r="BJS65"/>
      <c r="BJT65"/>
      <c r="BJU65"/>
      <c r="BJV65"/>
      <c r="BJW65"/>
      <c r="BJX65"/>
      <c r="BJY65"/>
      <c r="BJZ65"/>
      <c r="BKA65"/>
      <c r="BKB65"/>
      <c r="BKC65"/>
      <c r="BKD65"/>
      <c r="BKE65"/>
      <c r="BKF65"/>
      <c r="BKG65"/>
      <c r="BKH65"/>
      <c r="BKI65"/>
      <c r="BKJ65"/>
      <c r="BKK65"/>
      <c r="BKL65"/>
      <c r="BKM65"/>
      <c r="BKN65"/>
      <c r="BKO65"/>
      <c r="BKP65"/>
      <c r="BKQ65"/>
      <c r="BKR65"/>
      <c r="BKS65"/>
      <c r="BKT65"/>
      <c r="BKU65"/>
      <c r="BKV65"/>
      <c r="BKW65"/>
      <c r="BKX65"/>
      <c r="BKY65"/>
      <c r="BKZ65"/>
      <c r="BLA65"/>
      <c r="BLB65"/>
      <c r="BLC65"/>
      <c r="BLD65"/>
      <c r="BLE65"/>
      <c r="BLF65"/>
      <c r="BLG65"/>
      <c r="BLH65"/>
      <c r="BLI65"/>
      <c r="BLJ65"/>
      <c r="BLK65"/>
      <c r="BLL65"/>
      <c r="BLM65"/>
      <c r="BLN65"/>
      <c r="BLO65"/>
      <c r="BLP65"/>
      <c r="BLQ65"/>
      <c r="BLR65"/>
      <c r="BLS65"/>
      <c r="BLT65"/>
      <c r="BLU65"/>
      <c r="BLV65"/>
      <c r="BLW65"/>
      <c r="BLX65"/>
      <c r="BLY65"/>
      <c r="BLZ65"/>
      <c r="BMA65"/>
      <c r="BMB65"/>
      <c r="BMC65"/>
      <c r="BMD65"/>
      <c r="BME65"/>
      <c r="BMF65"/>
      <c r="BMG65"/>
      <c r="BMH65"/>
      <c r="BMI65"/>
      <c r="BMJ65"/>
      <c r="BMK65"/>
      <c r="BML65"/>
      <c r="BMM65"/>
      <c r="BMN65"/>
      <c r="BMO65"/>
      <c r="BMP65"/>
      <c r="BMQ65"/>
      <c r="BMR65"/>
      <c r="BMS65"/>
      <c r="BMT65"/>
      <c r="BMU65"/>
      <c r="BMV65"/>
      <c r="BMW65"/>
      <c r="BMX65"/>
      <c r="BMY65"/>
      <c r="BMZ65"/>
      <c r="BNA65"/>
      <c r="BNB65"/>
      <c r="BNC65"/>
      <c r="BND65"/>
      <c r="BNE65"/>
      <c r="BNF65"/>
      <c r="BNG65"/>
      <c r="BNH65"/>
      <c r="BNI65"/>
      <c r="BNJ65"/>
      <c r="BNK65"/>
      <c r="BNL65"/>
      <c r="BNM65"/>
      <c r="BNN65"/>
      <c r="BNO65"/>
      <c r="BNP65"/>
      <c r="BNQ65"/>
      <c r="BNR65"/>
      <c r="BNS65"/>
      <c r="BNT65"/>
      <c r="BNU65"/>
      <c r="BNV65"/>
      <c r="BNW65"/>
      <c r="BNX65"/>
      <c r="BNY65"/>
      <c r="BNZ65"/>
      <c r="BOA65"/>
      <c r="BOB65"/>
      <c r="BOC65"/>
      <c r="BOD65"/>
      <c r="BOE65"/>
      <c r="BOF65"/>
      <c r="BOG65"/>
      <c r="BOH65"/>
      <c r="BOI65"/>
      <c r="BOJ65"/>
      <c r="BOK65"/>
      <c r="BOL65"/>
      <c r="BOM65"/>
      <c r="BON65"/>
      <c r="BOO65"/>
      <c r="BOP65"/>
      <c r="BOQ65"/>
      <c r="BOR65"/>
      <c r="BOS65"/>
      <c r="BOT65"/>
      <c r="BOU65"/>
      <c r="BOV65"/>
      <c r="BOW65"/>
      <c r="BOX65"/>
      <c r="BOY65"/>
      <c r="BOZ65"/>
      <c r="BPA65"/>
      <c r="BPB65"/>
      <c r="BPC65"/>
      <c r="BPD65"/>
      <c r="BPE65"/>
      <c r="BPF65"/>
      <c r="BPG65"/>
      <c r="BPH65"/>
      <c r="BPI65"/>
      <c r="BPJ65"/>
      <c r="BPK65"/>
      <c r="BPL65"/>
      <c r="BPM65"/>
      <c r="BPN65"/>
      <c r="BPO65"/>
      <c r="BPP65"/>
      <c r="BPQ65"/>
      <c r="BPR65"/>
      <c r="BPS65"/>
      <c r="BPT65"/>
      <c r="BPU65"/>
      <c r="BPV65"/>
      <c r="BPW65"/>
      <c r="BPX65"/>
      <c r="BPY65"/>
      <c r="BPZ65"/>
      <c r="BQA65"/>
      <c r="BQB65"/>
      <c r="BQC65"/>
      <c r="BQD65"/>
      <c r="BQE65"/>
      <c r="BQF65"/>
      <c r="BQG65"/>
      <c r="BQH65"/>
      <c r="BQI65"/>
      <c r="BQJ65"/>
      <c r="BQK65"/>
      <c r="BQL65"/>
      <c r="BQM65"/>
      <c r="BQN65"/>
      <c r="BQO65"/>
      <c r="BQP65"/>
      <c r="BQQ65"/>
      <c r="BQR65"/>
      <c r="BQS65"/>
      <c r="BQT65"/>
      <c r="BQU65"/>
      <c r="BQV65"/>
      <c r="BQW65"/>
      <c r="BQX65"/>
      <c r="BQY65"/>
      <c r="BQZ65"/>
      <c r="BRA65"/>
      <c r="BRB65"/>
      <c r="BRC65"/>
      <c r="BRD65"/>
      <c r="BRE65"/>
      <c r="BRF65"/>
      <c r="BRG65"/>
      <c r="BRH65"/>
      <c r="BRI65"/>
      <c r="BRJ65"/>
      <c r="BRK65"/>
      <c r="BRL65"/>
      <c r="BRM65"/>
      <c r="BRN65"/>
      <c r="BRO65"/>
      <c r="BRP65"/>
      <c r="BRQ65"/>
      <c r="BRR65"/>
      <c r="BRS65"/>
      <c r="BRT65"/>
      <c r="BRU65"/>
      <c r="BRV65"/>
      <c r="BRW65"/>
      <c r="BRX65"/>
      <c r="BRY65"/>
      <c r="BRZ65"/>
      <c r="BSA65"/>
      <c r="BSB65"/>
      <c r="BSC65"/>
      <c r="BSD65"/>
      <c r="BSE65"/>
      <c r="BSF65"/>
      <c r="BSG65"/>
      <c r="BSH65"/>
      <c r="BSI65"/>
      <c r="BSJ65"/>
      <c r="BSK65"/>
      <c r="BSL65"/>
      <c r="BSM65"/>
      <c r="BSN65"/>
      <c r="BSO65"/>
      <c r="BSP65"/>
      <c r="BSQ65"/>
      <c r="BSR65"/>
      <c r="BSS65"/>
      <c r="BST65"/>
      <c r="BSU65"/>
      <c r="BSV65"/>
      <c r="BSW65"/>
      <c r="BSX65"/>
      <c r="BSY65"/>
      <c r="BSZ65"/>
      <c r="BTA65"/>
      <c r="BTB65"/>
      <c r="BTC65"/>
      <c r="BTD65"/>
      <c r="BTE65"/>
      <c r="BTF65"/>
      <c r="BTG65"/>
      <c r="BTH65"/>
      <c r="BTI65"/>
      <c r="BTJ65"/>
      <c r="BTK65"/>
      <c r="BTL65"/>
      <c r="BTM65"/>
      <c r="BTN65"/>
      <c r="BTO65"/>
      <c r="BTP65"/>
      <c r="BTQ65"/>
      <c r="BTR65"/>
      <c r="BTS65"/>
      <c r="BTT65"/>
      <c r="BTU65"/>
      <c r="BTV65"/>
      <c r="BTW65"/>
      <c r="BTX65"/>
      <c r="BTY65"/>
      <c r="BTZ65"/>
      <c r="BUA65"/>
      <c r="BUB65"/>
      <c r="BUC65"/>
      <c r="BUD65"/>
      <c r="BUE65"/>
      <c r="BUF65"/>
      <c r="BUG65"/>
      <c r="BUH65"/>
      <c r="BUI65"/>
      <c r="BUJ65"/>
      <c r="BUK65"/>
      <c r="BUL65"/>
      <c r="BUM65"/>
      <c r="BUN65"/>
      <c r="BUO65"/>
      <c r="BUP65"/>
      <c r="BUQ65"/>
      <c r="BUR65"/>
      <c r="BUS65"/>
      <c r="BUT65"/>
      <c r="BUU65"/>
      <c r="BUV65"/>
      <c r="BUW65"/>
      <c r="BUX65"/>
      <c r="BUY65"/>
      <c r="BUZ65"/>
      <c r="BVA65"/>
      <c r="BVB65"/>
      <c r="BVC65"/>
      <c r="BVD65"/>
      <c r="BVE65"/>
      <c r="BVF65"/>
      <c r="BVG65"/>
      <c r="BVH65"/>
      <c r="BVI65"/>
      <c r="BVJ65"/>
      <c r="BVK65"/>
      <c r="BVL65"/>
      <c r="BVM65"/>
      <c r="BVN65"/>
      <c r="BVO65"/>
      <c r="BVP65"/>
      <c r="BVQ65"/>
      <c r="BVR65"/>
      <c r="BVS65"/>
      <c r="BVT65"/>
      <c r="BVU65"/>
      <c r="BVV65"/>
      <c r="BVW65"/>
      <c r="BVX65"/>
      <c r="BVY65"/>
      <c r="BVZ65"/>
      <c r="BWA65"/>
      <c r="BWB65"/>
      <c r="BWC65"/>
      <c r="BWD65"/>
      <c r="BWE65"/>
      <c r="BWF65"/>
      <c r="BWG65"/>
      <c r="BWH65"/>
      <c r="BWI65"/>
      <c r="BWJ65"/>
      <c r="BWK65"/>
      <c r="BWL65"/>
      <c r="BWM65"/>
      <c r="BWN65"/>
      <c r="BWO65"/>
      <c r="BWP65"/>
      <c r="BWQ65"/>
      <c r="BWR65"/>
      <c r="BWS65"/>
      <c r="BWT65"/>
      <c r="BWU65"/>
      <c r="BWV65"/>
      <c r="BWW65"/>
      <c r="BWX65"/>
      <c r="BWY65"/>
      <c r="BWZ65"/>
      <c r="BXA65"/>
      <c r="BXB65"/>
      <c r="BXC65"/>
      <c r="BXD65"/>
      <c r="BXE65"/>
      <c r="BXF65"/>
      <c r="BXG65"/>
      <c r="BXH65"/>
      <c r="BXI65"/>
      <c r="BXJ65"/>
      <c r="BXK65"/>
      <c r="BXL65"/>
      <c r="BXM65"/>
      <c r="BXN65"/>
      <c r="BXO65"/>
      <c r="BXP65"/>
      <c r="BXQ65"/>
      <c r="BXR65"/>
      <c r="BXS65"/>
      <c r="BXT65"/>
      <c r="BXU65"/>
      <c r="BXV65"/>
      <c r="BXW65"/>
      <c r="BXX65"/>
      <c r="BXY65"/>
      <c r="BXZ65"/>
      <c r="BYA65"/>
      <c r="BYB65"/>
      <c r="BYC65"/>
      <c r="BYD65"/>
      <c r="BYE65"/>
      <c r="BYF65"/>
      <c r="BYG65"/>
    </row>
    <row r="66" spans="1:2009" s="89" customFormat="1" ht="12" customHeight="1" thickBot="1" x14ac:dyDescent="0.3">
      <c r="A66" s="536"/>
      <c r="B66" s="536"/>
      <c r="C66" s="349"/>
      <c r="D66" s="142"/>
      <c r="E66" s="142"/>
      <c r="F66" s="142"/>
      <c r="G66" s="515"/>
      <c r="H66"/>
      <c r="I66" s="21"/>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c r="AMJ66"/>
      <c r="AMK66"/>
      <c r="AML66"/>
      <c r="AMM66"/>
      <c r="AMN66"/>
      <c r="AMO66"/>
      <c r="AMP66"/>
      <c r="AMQ66"/>
      <c r="AMR66"/>
      <c r="AMS66"/>
      <c r="AMT66"/>
      <c r="AMU66"/>
      <c r="AMV66"/>
      <c r="AMW66"/>
      <c r="AMX66"/>
      <c r="AMY66"/>
      <c r="AMZ66"/>
      <c r="ANA66"/>
      <c r="ANB66"/>
      <c r="ANC66"/>
      <c r="AND66"/>
      <c r="ANE66"/>
      <c r="ANF66"/>
      <c r="ANG66"/>
      <c r="ANH66"/>
      <c r="ANI66"/>
      <c r="ANJ66"/>
      <c r="ANK66"/>
      <c r="ANL66"/>
      <c r="ANM66"/>
      <c r="ANN66"/>
      <c r="ANO66"/>
      <c r="ANP66"/>
      <c r="ANQ66"/>
      <c r="ANR66"/>
      <c r="ANS66"/>
      <c r="ANT66"/>
      <c r="ANU66"/>
      <c r="ANV66"/>
      <c r="ANW66"/>
      <c r="ANX66"/>
      <c r="ANY66"/>
      <c r="ANZ66"/>
      <c r="AOA66"/>
      <c r="AOB66"/>
      <c r="AOC66"/>
      <c r="AOD66"/>
      <c r="AOE66"/>
      <c r="AOF66"/>
      <c r="AOG66"/>
      <c r="AOH66"/>
      <c r="AOI66"/>
      <c r="AOJ66"/>
      <c r="AOK66"/>
      <c r="AOL66"/>
      <c r="AOM66"/>
      <c r="AON66"/>
      <c r="AOO66"/>
      <c r="AOP66"/>
      <c r="AOQ66"/>
      <c r="AOR66"/>
      <c r="AOS66"/>
      <c r="AOT66"/>
      <c r="AOU66"/>
      <c r="AOV66"/>
      <c r="AOW66"/>
      <c r="AOX66"/>
      <c r="AOY66"/>
      <c r="AOZ66"/>
      <c r="APA66"/>
      <c r="APB66"/>
      <c r="APC66"/>
      <c r="APD66"/>
      <c r="APE66"/>
      <c r="APF66"/>
      <c r="APG66"/>
      <c r="APH66"/>
      <c r="API66"/>
      <c r="APJ66"/>
      <c r="APK66"/>
      <c r="APL66"/>
      <c r="APM66"/>
      <c r="APN66"/>
      <c r="APO66"/>
      <c r="APP66"/>
      <c r="APQ66"/>
      <c r="APR66"/>
      <c r="APS66"/>
      <c r="APT66"/>
      <c r="APU66"/>
      <c r="APV66"/>
      <c r="APW66"/>
      <c r="APX66"/>
      <c r="APY66"/>
      <c r="APZ66"/>
      <c r="AQA66"/>
      <c r="AQB66"/>
      <c r="AQC66"/>
      <c r="AQD66"/>
      <c r="AQE66"/>
      <c r="AQF66"/>
      <c r="AQG66"/>
      <c r="AQH66"/>
      <c r="AQI66"/>
      <c r="AQJ66"/>
      <c r="AQK66"/>
      <c r="AQL66"/>
      <c r="AQM66"/>
      <c r="AQN66"/>
      <c r="AQO66"/>
      <c r="AQP66"/>
      <c r="AQQ66"/>
      <c r="AQR66"/>
      <c r="AQS66"/>
      <c r="AQT66"/>
      <c r="AQU66"/>
      <c r="AQV66"/>
      <c r="AQW66"/>
      <c r="AQX66"/>
      <c r="AQY66"/>
      <c r="AQZ66"/>
      <c r="ARA66"/>
      <c r="ARB66"/>
      <c r="ARC66"/>
      <c r="ARD66"/>
      <c r="ARE66"/>
      <c r="ARF66"/>
      <c r="ARG66"/>
      <c r="ARH66"/>
      <c r="ARI66"/>
      <c r="ARJ66"/>
      <c r="ARK66"/>
      <c r="ARL66"/>
      <c r="ARM66"/>
      <c r="ARN66"/>
      <c r="ARO66"/>
      <c r="ARP66"/>
      <c r="ARQ66"/>
      <c r="ARR66"/>
      <c r="ARS66"/>
      <c r="ART66"/>
      <c r="ARU66"/>
      <c r="ARV66"/>
      <c r="ARW66"/>
      <c r="ARX66"/>
      <c r="ARY66"/>
      <c r="ARZ66"/>
      <c r="ASA66"/>
      <c r="ASB66"/>
      <c r="ASC66"/>
      <c r="ASD66"/>
      <c r="ASE66"/>
      <c r="ASF66"/>
      <c r="ASG66"/>
      <c r="ASH66"/>
      <c r="ASI66"/>
      <c r="ASJ66"/>
      <c r="ASK66"/>
      <c r="ASL66"/>
      <c r="ASM66"/>
      <c r="ASN66"/>
      <c r="ASO66"/>
      <c r="ASP66"/>
      <c r="ASQ66"/>
      <c r="ASR66"/>
      <c r="ASS66"/>
      <c r="AST66"/>
      <c r="ASU66"/>
      <c r="ASV66"/>
      <c r="ASW66"/>
      <c r="ASX66"/>
      <c r="ASY66"/>
      <c r="ASZ66"/>
      <c r="ATA66"/>
      <c r="ATB66"/>
      <c r="ATC66"/>
      <c r="ATD66"/>
      <c r="ATE66"/>
      <c r="ATF66"/>
      <c r="ATG66"/>
      <c r="ATH66"/>
      <c r="ATI66"/>
      <c r="ATJ66"/>
      <c r="ATK66"/>
      <c r="ATL66"/>
      <c r="ATM66"/>
      <c r="ATN66"/>
      <c r="ATO66"/>
      <c r="ATP66"/>
      <c r="ATQ66"/>
      <c r="ATR66"/>
      <c r="ATS66"/>
      <c r="ATT66"/>
      <c r="ATU66"/>
      <c r="ATV66"/>
      <c r="ATW66"/>
      <c r="ATX66"/>
      <c r="ATY66"/>
      <c r="ATZ66"/>
      <c r="AUA66"/>
      <c r="AUB66"/>
      <c r="AUC66"/>
      <c r="AUD66"/>
      <c r="AUE66"/>
      <c r="AUF66"/>
      <c r="AUG66"/>
      <c r="AUH66"/>
      <c r="AUI66"/>
      <c r="AUJ66"/>
      <c r="AUK66"/>
      <c r="AUL66"/>
      <c r="AUM66"/>
      <c r="AUN66"/>
      <c r="AUO66"/>
      <c r="AUP66"/>
      <c r="AUQ66"/>
      <c r="AUR66"/>
      <c r="AUS66"/>
      <c r="AUT66"/>
      <c r="AUU66"/>
      <c r="AUV66"/>
      <c r="AUW66"/>
      <c r="AUX66"/>
      <c r="AUY66"/>
      <c r="AUZ66"/>
      <c r="AVA66"/>
      <c r="AVB66"/>
      <c r="AVC66"/>
      <c r="AVD66"/>
      <c r="AVE66"/>
      <c r="AVF66"/>
      <c r="AVG66"/>
      <c r="AVH66"/>
      <c r="AVI66"/>
      <c r="AVJ66"/>
      <c r="AVK66"/>
      <c r="AVL66"/>
      <c r="AVM66"/>
      <c r="AVN66"/>
      <c r="AVO66"/>
      <c r="AVP66"/>
      <c r="AVQ66"/>
      <c r="AVR66"/>
      <c r="AVS66"/>
      <c r="AVT66"/>
      <c r="AVU66"/>
      <c r="AVV66"/>
      <c r="AVW66"/>
      <c r="AVX66"/>
      <c r="AVY66"/>
      <c r="AVZ66"/>
      <c r="AWA66"/>
      <c r="AWB66"/>
      <c r="AWC66"/>
      <c r="AWD66"/>
      <c r="AWE66"/>
      <c r="AWF66"/>
      <c r="AWG66"/>
      <c r="AWH66"/>
      <c r="AWI66"/>
      <c r="AWJ66"/>
      <c r="AWK66"/>
      <c r="AWL66"/>
      <c r="AWM66"/>
      <c r="AWN66"/>
      <c r="AWO66"/>
      <c r="AWP66"/>
      <c r="AWQ66"/>
      <c r="AWR66"/>
      <c r="AWS66"/>
      <c r="AWT66"/>
      <c r="AWU66"/>
      <c r="AWV66"/>
      <c r="AWW66"/>
      <c r="AWX66"/>
      <c r="AWY66"/>
      <c r="AWZ66"/>
      <c r="AXA66"/>
      <c r="AXB66"/>
      <c r="AXC66"/>
      <c r="AXD66"/>
      <c r="AXE66"/>
      <c r="AXF66"/>
      <c r="AXG66"/>
      <c r="AXH66"/>
      <c r="AXI66"/>
      <c r="AXJ66"/>
      <c r="AXK66"/>
      <c r="AXL66"/>
      <c r="AXM66"/>
      <c r="AXN66"/>
      <c r="AXO66"/>
      <c r="AXP66"/>
      <c r="AXQ66"/>
      <c r="AXR66"/>
      <c r="AXS66"/>
      <c r="AXT66"/>
      <c r="AXU66"/>
      <c r="AXV66"/>
      <c r="AXW66"/>
      <c r="AXX66"/>
      <c r="AXY66"/>
      <c r="AXZ66"/>
      <c r="AYA66"/>
      <c r="AYB66"/>
      <c r="AYC66"/>
      <c r="AYD66"/>
      <c r="AYE66"/>
      <c r="AYF66"/>
      <c r="AYG66"/>
      <c r="AYH66"/>
      <c r="AYI66"/>
      <c r="AYJ66"/>
      <c r="AYK66"/>
      <c r="AYL66"/>
      <c r="AYM66"/>
      <c r="AYN66"/>
      <c r="AYO66"/>
      <c r="AYP66"/>
      <c r="AYQ66"/>
      <c r="AYR66"/>
      <c r="AYS66"/>
      <c r="AYT66"/>
      <c r="AYU66"/>
      <c r="AYV66"/>
      <c r="AYW66"/>
      <c r="AYX66"/>
      <c r="AYY66"/>
      <c r="AYZ66"/>
      <c r="AZA66"/>
      <c r="AZB66"/>
      <c r="AZC66"/>
      <c r="AZD66"/>
      <c r="AZE66"/>
      <c r="AZF66"/>
      <c r="AZG66"/>
      <c r="AZH66"/>
      <c r="AZI66"/>
      <c r="AZJ66"/>
      <c r="AZK66"/>
      <c r="AZL66"/>
      <c r="AZM66"/>
      <c r="AZN66"/>
      <c r="AZO66"/>
      <c r="AZP66"/>
      <c r="AZQ66"/>
      <c r="AZR66"/>
      <c r="AZS66"/>
      <c r="AZT66"/>
      <c r="AZU66"/>
      <c r="AZV66"/>
      <c r="AZW66"/>
      <c r="AZX66"/>
      <c r="AZY66"/>
      <c r="AZZ66"/>
      <c r="BAA66"/>
      <c r="BAB66"/>
      <c r="BAC66"/>
      <c r="BAD66"/>
      <c r="BAE66"/>
      <c r="BAF66"/>
      <c r="BAG66"/>
      <c r="BAH66"/>
      <c r="BAI66"/>
      <c r="BAJ66"/>
      <c r="BAK66"/>
      <c r="BAL66"/>
      <c r="BAM66"/>
      <c r="BAN66"/>
      <c r="BAO66"/>
      <c r="BAP66"/>
      <c r="BAQ66"/>
      <c r="BAR66"/>
      <c r="BAS66"/>
      <c r="BAT66"/>
      <c r="BAU66"/>
      <c r="BAV66"/>
      <c r="BAW66"/>
      <c r="BAX66"/>
      <c r="BAY66"/>
      <c r="BAZ66"/>
      <c r="BBA66"/>
      <c r="BBB66"/>
      <c r="BBC66"/>
      <c r="BBD66"/>
      <c r="BBE66"/>
      <c r="BBF66"/>
      <c r="BBG66"/>
      <c r="BBH66"/>
      <c r="BBI66"/>
      <c r="BBJ66"/>
      <c r="BBK66"/>
      <c r="BBL66"/>
      <c r="BBM66"/>
      <c r="BBN66"/>
      <c r="BBO66"/>
      <c r="BBP66"/>
      <c r="BBQ66"/>
      <c r="BBR66"/>
      <c r="BBS66"/>
      <c r="BBT66"/>
      <c r="BBU66"/>
      <c r="BBV66"/>
      <c r="BBW66"/>
      <c r="BBX66"/>
      <c r="BBY66"/>
      <c r="BBZ66"/>
      <c r="BCA66"/>
      <c r="BCB66"/>
      <c r="BCC66"/>
      <c r="BCD66"/>
      <c r="BCE66"/>
      <c r="BCF66"/>
      <c r="BCG66"/>
      <c r="BCH66"/>
      <c r="BCI66"/>
      <c r="BCJ66"/>
      <c r="BCK66"/>
      <c r="BCL66"/>
      <c r="BCM66"/>
      <c r="BCN66"/>
      <c r="BCO66"/>
      <c r="BCP66"/>
      <c r="BCQ66"/>
      <c r="BCR66"/>
      <c r="BCS66"/>
      <c r="BCT66"/>
      <c r="BCU66"/>
      <c r="BCV66"/>
      <c r="BCW66"/>
      <c r="BCX66"/>
      <c r="BCY66"/>
      <c r="BCZ66"/>
      <c r="BDA66"/>
      <c r="BDB66"/>
      <c r="BDC66"/>
      <c r="BDD66"/>
      <c r="BDE66"/>
      <c r="BDF66"/>
      <c r="BDG66"/>
      <c r="BDH66"/>
      <c r="BDI66"/>
      <c r="BDJ66"/>
      <c r="BDK66"/>
      <c r="BDL66"/>
      <c r="BDM66"/>
      <c r="BDN66"/>
      <c r="BDO66"/>
      <c r="BDP66"/>
      <c r="BDQ66"/>
      <c r="BDR66"/>
      <c r="BDS66"/>
      <c r="BDT66"/>
      <c r="BDU66"/>
      <c r="BDV66"/>
      <c r="BDW66"/>
      <c r="BDX66"/>
      <c r="BDY66"/>
      <c r="BDZ66"/>
      <c r="BEA66"/>
      <c r="BEB66"/>
      <c r="BEC66"/>
      <c r="BED66"/>
      <c r="BEE66"/>
      <c r="BEF66"/>
      <c r="BEG66"/>
      <c r="BEH66"/>
      <c r="BEI66"/>
      <c r="BEJ66"/>
      <c r="BEK66"/>
      <c r="BEL66"/>
      <c r="BEM66"/>
      <c r="BEN66"/>
      <c r="BEO66"/>
      <c r="BEP66"/>
      <c r="BEQ66"/>
      <c r="BER66"/>
      <c r="BES66"/>
      <c r="BET66"/>
      <c r="BEU66"/>
      <c r="BEV66"/>
      <c r="BEW66"/>
      <c r="BEX66"/>
      <c r="BEY66"/>
      <c r="BEZ66"/>
      <c r="BFA66"/>
      <c r="BFB66"/>
      <c r="BFC66"/>
      <c r="BFD66"/>
      <c r="BFE66"/>
      <c r="BFF66"/>
      <c r="BFG66"/>
      <c r="BFH66"/>
      <c r="BFI66"/>
      <c r="BFJ66"/>
      <c r="BFK66"/>
      <c r="BFL66"/>
      <c r="BFM66"/>
      <c r="BFN66"/>
      <c r="BFO66"/>
      <c r="BFP66"/>
      <c r="BFQ66"/>
      <c r="BFR66"/>
      <c r="BFS66"/>
      <c r="BFT66"/>
      <c r="BFU66"/>
      <c r="BFV66"/>
      <c r="BFW66"/>
      <c r="BFX66"/>
      <c r="BFY66"/>
      <c r="BFZ66"/>
      <c r="BGA66"/>
      <c r="BGB66"/>
      <c r="BGC66"/>
      <c r="BGD66"/>
      <c r="BGE66"/>
      <c r="BGF66"/>
      <c r="BGG66"/>
      <c r="BGH66"/>
      <c r="BGI66"/>
      <c r="BGJ66"/>
      <c r="BGK66"/>
      <c r="BGL66"/>
      <c r="BGM66"/>
      <c r="BGN66"/>
      <c r="BGO66"/>
      <c r="BGP66"/>
      <c r="BGQ66"/>
      <c r="BGR66"/>
      <c r="BGS66"/>
      <c r="BGT66"/>
      <c r="BGU66"/>
      <c r="BGV66"/>
      <c r="BGW66"/>
      <c r="BGX66"/>
      <c r="BGY66"/>
      <c r="BGZ66"/>
      <c r="BHA66"/>
      <c r="BHB66"/>
      <c r="BHC66"/>
      <c r="BHD66"/>
      <c r="BHE66"/>
      <c r="BHF66"/>
      <c r="BHG66"/>
      <c r="BHH66"/>
      <c r="BHI66"/>
      <c r="BHJ66"/>
      <c r="BHK66"/>
      <c r="BHL66"/>
      <c r="BHM66"/>
      <c r="BHN66"/>
      <c r="BHO66"/>
      <c r="BHP66"/>
      <c r="BHQ66"/>
      <c r="BHR66"/>
      <c r="BHS66"/>
      <c r="BHT66"/>
      <c r="BHU66"/>
      <c r="BHV66"/>
      <c r="BHW66"/>
      <c r="BHX66"/>
      <c r="BHY66"/>
      <c r="BHZ66"/>
      <c r="BIA66"/>
      <c r="BIB66"/>
      <c r="BIC66"/>
      <c r="BID66"/>
      <c r="BIE66"/>
      <c r="BIF66"/>
      <c r="BIG66"/>
      <c r="BIH66"/>
      <c r="BII66"/>
      <c r="BIJ66"/>
      <c r="BIK66"/>
      <c r="BIL66"/>
      <c r="BIM66"/>
      <c r="BIN66"/>
      <c r="BIO66"/>
      <c r="BIP66"/>
      <c r="BIQ66"/>
      <c r="BIR66"/>
      <c r="BIS66"/>
      <c r="BIT66"/>
      <c r="BIU66"/>
      <c r="BIV66"/>
      <c r="BIW66"/>
      <c r="BIX66"/>
      <c r="BIY66"/>
      <c r="BIZ66"/>
      <c r="BJA66"/>
      <c r="BJB66"/>
      <c r="BJC66"/>
      <c r="BJD66"/>
      <c r="BJE66"/>
      <c r="BJF66"/>
      <c r="BJG66"/>
      <c r="BJH66"/>
      <c r="BJI66"/>
      <c r="BJJ66"/>
      <c r="BJK66"/>
      <c r="BJL66"/>
      <c r="BJM66"/>
      <c r="BJN66"/>
      <c r="BJO66"/>
      <c r="BJP66"/>
      <c r="BJQ66"/>
      <c r="BJR66"/>
      <c r="BJS66"/>
      <c r="BJT66"/>
      <c r="BJU66"/>
      <c r="BJV66"/>
      <c r="BJW66"/>
      <c r="BJX66"/>
      <c r="BJY66"/>
      <c r="BJZ66"/>
      <c r="BKA66"/>
      <c r="BKB66"/>
      <c r="BKC66"/>
      <c r="BKD66"/>
      <c r="BKE66"/>
      <c r="BKF66"/>
      <c r="BKG66"/>
      <c r="BKH66"/>
      <c r="BKI66"/>
      <c r="BKJ66"/>
      <c r="BKK66"/>
      <c r="BKL66"/>
      <c r="BKM66"/>
      <c r="BKN66"/>
      <c r="BKO66"/>
      <c r="BKP66"/>
      <c r="BKQ66"/>
      <c r="BKR66"/>
      <c r="BKS66"/>
      <c r="BKT66"/>
      <c r="BKU66"/>
      <c r="BKV66"/>
      <c r="BKW66"/>
      <c r="BKX66"/>
      <c r="BKY66"/>
      <c r="BKZ66"/>
      <c r="BLA66"/>
      <c r="BLB66"/>
      <c r="BLC66"/>
      <c r="BLD66"/>
      <c r="BLE66"/>
      <c r="BLF66"/>
      <c r="BLG66"/>
      <c r="BLH66"/>
      <c r="BLI66"/>
      <c r="BLJ66"/>
      <c r="BLK66"/>
      <c r="BLL66"/>
      <c r="BLM66"/>
      <c r="BLN66"/>
      <c r="BLO66"/>
      <c r="BLP66"/>
      <c r="BLQ66"/>
      <c r="BLR66"/>
      <c r="BLS66"/>
      <c r="BLT66"/>
      <c r="BLU66"/>
      <c r="BLV66"/>
      <c r="BLW66"/>
      <c r="BLX66"/>
      <c r="BLY66"/>
      <c r="BLZ66"/>
      <c r="BMA66"/>
      <c r="BMB66"/>
      <c r="BMC66"/>
      <c r="BMD66"/>
      <c r="BME66"/>
      <c r="BMF66"/>
      <c r="BMG66"/>
      <c r="BMH66"/>
      <c r="BMI66"/>
      <c r="BMJ66"/>
      <c r="BMK66"/>
      <c r="BML66"/>
      <c r="BMM66"/>
      <c r="BMN66"/>
      <c r="BMO66"/>
      <c r="BMP66"/>
      <c r="BMQ66"/>
      <c r="BMR66"/>
      <c r="BMS66"/>
      <c r="BMT66"/>
      <c r="BMU66"/>
      <c r="BMV66"/>
      <c r="BMW66"/>
      <c r="BMX66"/>
      <c r="BMY66"/>
      <c r="BMZ66"/>
      <c r="BNA66"/>
      <c r="BNB66"/>
      <c r="BNC66"/>
      <c r="BND66"/>
      <c r="BNE66"/>
      <c r="BNF66"/>
      <c r="BNG66"/>
      <c r="BNH66"/>
      <c r="BNI66"/>
      <c r="BNJ66"/>
      <c r="BNK66"/>
      <c r="BNL66"/>
      <c r="BNM66"/>
      <c r="BNN66"/>
      <c r="BNO66"/>
      <c r="BNP66"/>
      <c r="BNQ66"/>
      <c r="BNR66"/>
      <c r="BNS66"/>
      <c r="BNT66"/>
      <c r="BNU66"/>
      <c r="BNV66"/>
      <c r="BNW66"/>
      <c r="BNX66"/>
      <c r="BNY66"/>
      <c r="BNZ66"/>
      <c r="BOA66"/>
      <c r="BOB66"/>
      <c r="BOC66"/>
      <c r="BOD66"/>
      <c r="BOE66"/>
      <c r="BOF66"/>
      <c r="BOG66"/>
      <c r="BOH66"/>
      <c r="BOI66"/>
      <c r="BOJ66"/>
      <c r="BOK66"/>
      <c r="BOL66"/>
      <c r="BOM66"/>
      <c r="BON66"/>
      <c r="BOO66"/>
      <c r="BOP66"/>
      <c r="BOQ66"/>
      <c r="BOR66"/>
      <c r="BOS66"/>
      <c r="BOT66"/>
      <c r="BOU66"/>
      <c r="BOV66"/>
      <c r="BOW66"/>
      <c r="BOX66"/>
      <c r="BOY66"/>
      <c r="BOZ66"/>
      <c r="BPA66"/>
      <c r="BPB66"/>
      <c r="BPC66"/>
      <c r="BPD66"/>
      <c r="BPE66"/>
      <c r="BPF66"/>
      <c r="BPG66"/>
      <c r="BPH66"/>
      <c r="BPI66"/>
      <c r="BPJ66"/>
      <c r="BPK66"/>
      <c r="BPL66"/>
      <c r="BPM66"/>
      <c r="BPN66"/>
      <c r="BPO66"/>
      <c r="BPP66"/>
      <c r="BPQ66"/>
      <c r="BPR66"/>
      <c r="BPS66"/>
      <c r="BPT66"/>
      <c r="BPU66"/>
      <c r="BPV66"/>
      <c r="BPW66"/>
      <c r="BPX66"/>
      <c r="BPY66"/>
      <c r="BPZ66"/>
      <c r="BQA66"/>
      <c r="BQB66"/>
      <c r="BQC66"/>
      <c r="BQD66"/>
      <c r="BQE66"/>
      <c r="BQF66"/>
      <c r="BQG66"/>
      <c r="BQH66"/>
      <c r="BQI66"/>
      <c r="BQJ66"/>
      <c r="BQK66"/>
      <c r="BQL66"/>
      <c r="BQM66"/>
      <c r="BQN66"/>
      <c r="BQO66"/>
      <c r="BQP66"/>
      <c r="BQQ66"/>
      <c r="BQR66"/>
      <c r="BQS66"/>
      <c r="BQT66"/>
      <c r="BQU66"/>
      <c r="BQV66"/>
      <c r="BQW66"/>
      <c r="BQX66"/>
      <c r="BQY66"/>
      <c r="BQZ66"/>
      <c r="BRA66"/>
      <c r="BRB66"/>
      <c r="BRC66"/>
      <c r="BRD66"/>
      <c r="BRE66"/>
      <c r="BRF66"/>
      <c r="BRG66"/>
      <c r="BRH66"/>
      <c r="BRI66"/>
      <c r="BRJ66"/>
      <c r="BRK66"/>
      <c r="BRL66"/>
      <c r="BRM66"/>
      <c r="BRN66"/>
      <c r="BRO66"/>
      <c r="BRP66"/>
      <c r="BRQ66"/>
      <c r="BRR66"/>
      <c r="BRS66"/>
      <c r="BRT66"/>
      <c r="BRU66"/>
      <c r="BRV66"/>
      <c r="BRW66"/>
      <c r="BRX66"/>
      <c r="BRY66"/>
      <c r="BRZ66"/>
      <c r="BSA66"/>
      <c r="BSB66"/>
      <c r="BSC66"/>
      <c r="BSD66"/>
      <c r="BSE66"/>
      <c r="BSF66"/>
      <c r="BSG66"/>
      <c r="BSH66"/>
      <c r="BSI66"/>
      <c r="BSJ66"/>
      <c r="BSK66"/>
      <c r="BSL66"/>
      <c r="BSM66"/>
      <c r="BSN66"/>
      <c r="BSO66"/>
      <c r="BSP66"/>
      <c r="BSQ66"/>
      <c r="BSR66"/>
      <c r="BSS66"/>
      <c r="BST66"/>
      <c r="BSU66"/>
      <c r="BSV66"/>
      <c r="BSW66"/>
      <c r="BSX66"/>
      <c r="BSY66"/>
      <c r="BSZ66"/>
      <c r="BTA66"/>
      <c r="BTB66"/>
      <c r="BTC66"/>
      <c r="BTD66"/>
      <c r="BTE66"/>
      <c r="BTF66"/>
      <c r="BTG66"/>
      <c r="BTH66"/>
      <c r="BTI66"/>
      <c r="BTJ66"/>
      <c r="BTK66"/>
      <c r="BTL66"/>
      <c r="BTM66"/>
      <c r="BTN66"/>
      <c r="BTO66"/>
      <c r="BTP66"/>
      <c r="BTQ66"/>
      <c r="BTR66"/>
      <c r="BTS66"/>
      <c r="BTT66"/>
      <c r="BTU66"/>
      <c r="BTV66"/>
      <c r="BTW66"/>
      <c r="BTX66"/>
      <c r="BTY66"/>
      <c r="BTZ66"/>
      <c r="BUA66"/>
      <c r="BUB66"/>
      <c r="BUC66"/>
      <c r="BUD66"/>
      <c r="BUE66"/>
      <c r="BUF66"/>
      <c r="BUG66"/>
      <c r="BUH66"/>
      <c r="BUI66"/>
      <c r="BUJ66"/>
      <c r="BUK66"/>
      <c r="BUL66"/>
      <c r="BUM66"/>
      <c r="BUN66"/>
      <c r="BUO66"/>
      <c r="BUP66"/>
      <c r="BUQ66"/>
      <c r="BUR66"/>
      <c r="BUS66"/>
      <c r="BUT66"/>
      <c r="BUU66"/>
      <c r="BUV66"/>
      <c r="BUW66"/>
      <c r="BUX66"/>
      <c r="BUY66"/>
      <c r="BUZ66"/>
      <c r="BVA66"/>
      <c r="BVB66"/>
      <c r="BVC66"/>
      <c r="BVD66"/>
      <c r="BVE66"/>
      <c r="BVF66"/>
      <c r="BVG66"/>
      <c r="BVH66"/>
      <c r="BVI66"/>
      <c r="BVJ66"/>
      <c r="BVK66"/>
      <c r="BVL66"/>
      <c r="BVM66"/>
      <c r="BVN66"/>
      <c r="BVO66"/>
      <c r="BVP66"/>
      <c r="BVQ66"/>
      <c r="BVR66"/>
      <c r="BVS66"/>
      <c r="BVT66"/>
      <c r="BVU66"/>
      <c r="BVV66"/>
      <c r="BVW66"/>
      <c r="BVX66"/>
      <c r="BVY66"/>
      <c r="BVZ66"/>
      <c r="BWA66"/>
      <c r="BWB66"/>
      <c r="BWC66"/>
      <c r="BWD66"/>
      <c r="BWE66"/>
      <c r="BWF66"/>
      <c r="BWG66"/>
      <c r="BWH66"/>
      <c r="BWI66"/>
      <c r="BWJ66"/>
      <c r="BWK66"/>
      <c r="BWL66"/>
      <c r="BWM66"/>
      <c r="BWN66"/>
      <c r="BWO66"/>
      <c r="BWP66"/>
      <c r="BWQ66"/>
      <c r="BWR66"/>
      <c r="BWS66"/>
      <c r="BWT66"/>
      <c r="BWU66"/>
      <c r="BWV66"/>
      <c r="BWW66"/>
      <c r="BWX66"/>
      <c r="BWY66"/>
      <c r="BWZ66"/>
      <c r="BXA66"/>
      <c r="BXB66"/>
      <c r="BXC66"/>
      <c r="BXD66"/>
      <c r="BXE66"/>
      <c r="BXF66"/>
      <c r="BXG66"/>
      <c r="BXH66"/>
      <c r="BXI66"/>
      <c r="BXJ66"/>
      <c r="BXK66"/>
      <c r="BXL66"/>
      <c r="BXM66"/>
      <c r="BXN66"/>
      <c r="BXO66"/>
      <c r="BXP66"/>
      <c r="BXQ66"/>
      <c r="BXR66"/>
      <c r="BXS66"/>
      <c r="BXT66"/>
      <c r="BXU66"/>
      <c r="BXV66"/>
      <c r="BXW66"/>
      <c r="BXX66"/>
      <c r="BXY66"/>
      <c r="BXZ66"/>
      <c r="BYA66"/>
      <c r="BYB66"/>
      <c r="BYC66"/>
      <c r="BYD66"/>
      <c r="BYE66"/>
      <c r="BYF66"/>
      <c r="BYG66"/>
    </row>
    <row r="67" spans="1:2009" s="89" customFormat="1" ht="24.95" customHeight="1" thickBot="1" x14ac:dyDescent="0.3">
      <c r="A67" s="568" t="s">
        <v>627</v>
      </c>
      <c r="B67" s="569"/>
      <c r="C67" s="570"/>
      <c r="D67" s="571"/>
      <c r="E67" s="571"/>
      <c r="F67" s="571">
        <v>50000</v>
      </c>
      <c r="G67" s="572">
        <f>SUM(C67:F67)</f>
        <v>50000</v>
      </c>
      <c r="H67"/>
      <c r="I67" s="21"/>
      <c r="J67" s="784"/>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c r="AMK67"/>
      <c r="AML67"/>
      <c r="AMM67"/>
      <c r="AMN67"/>
      <c r="AMO67"/>
      <c r="AMP67"/>
      <c r="AMQ67"/>
      <c r="AMR67"/>
      <c r="AMS67"/>
      <c r="AMT67"/>
      <c r="AMU67"/>
      <c r="AMV67"/>
      <c r="AMW67"/>
      <c r="AMX67"/>
      <c r="AMY67"/>
      <c r="AMZ67"/>
      <c r="ANA67"/>
      <c r="ANB67"/>
      <c r="ANC67"/>
      <c r="AND67"/>
      <c r="ANE67"/>
      <c r="ANF67"/>
      <c r="ANG67"/>
      <c r="ANH67"/>
      <c r="ANI67"/>
      <c r="ANJ67"/>
      <c r="ANK67"/>
      <c r="ANL67"/>
      <c r="ANM67"/>
      <c r="ANN67"/>
      <c r="ANO67"/>
      <c r="ANP67"/>
      <c r="ANQ67"/>
      <c r="ANR67"/>
      <c r="ANS67"/>
      <c r="ANT67"/>
      <c r="ANU67"/>
      <c r="ANV67"/>
      <c r="ANW67"/>
      <c r="ANX67"/>
      <c r="ANY67"/>
      <c r="ANZ67"/>
      <c r="AOA67"/>
      <c r="AOB67"/>
      <c r="AOC67"/>
      <c r="AOD67"/>
      <c r="AOE67"/>
      <c r="AOF67"/>
      <c r="AOG67"/>
      <c r="AOH67"/>
      <c r="AOI67"/>
      <c r="AOJ67"/>
      <c r="AOK67"/>
      <c r="AOL67"/>
      <c r="AOM67"/>
      <c r="AON67"/>
      <c r="AOO67"/>
      <c r="AOP67"/>
      <c r="AOQ67"/>
      <c r="AOR67"/>
      <c r="AOS67"/>
      <c r="AOT67"/>
      <c r="AOU67"/>
      <c r="AOV67"/>
      <c r="AOW67"/>
      <c r="AOX67"/>
      <c r="AOY67"/>
      <c r="AOZ67"/>
      <c r="APA67"/>
      <c r="APB67"/>
      <c r="APC67"/>
      <c r="APD67"/>
      <c r="APE67"/>
      <c r="APF67"/>
      <c r="APG67"/>
      <c r="APH67"/>
      <c r="API67"/>
      <c r="APJ67"/>
      <c r="APK67"/>
      <c r="APL67"/>
      <c r="APM67"/>
      <c r="APN67"/>
      <c r="APO67"/>
      <c r="APP67"/>
      <c r="APQ67"/>
      <c r="APR67"/>
      <c r="APS67"/>
      <c r="APT67"/>
      <c r="APU67"/>
      <c r="APV67"/>
      <c r="APW67"/>
      <c r="APX67"/>
      <c r="APY67"/>
      <c r="APZ67"/>
      <c r="AQA67"/>
      <c r="AQB67"/>
      <c r="AQC67"/>
      <c r="AQD67"/>
      <c r="AQE67"/>
      <c r="AQF67"/>
      <c r="AQG67"/>
      <c r="AQH67"/>
      <c r="AQI67"/>
      <c r="AQJ67"/>
      <c r="AQK67"/>
      <c r="AQL67"/>
      <c r="AQM67"/>
      <c r="AQN67"/>
      <c r="AQO67"/>
      <c r="AQP67"/>
      <c r="AQQ67"/>
      <c r="AQR67"/>
      <c r="AQS67"/>
      <c r="AQT67"/>
      <c r="AQU67"/>
      <c r="AQV67"/>
      <c r="AQW67"/>
      <c r="AQX67"/>
      <c r="AQY67"/>
      <c r="AQZ67"/>
      <c r="ARA67"/>
      <c r="ARB67"/>
      <c r="ARC67"/>
      <c r="ARD67"/>
      <c r="ARE67"/>
      <c r="ARF67"/>
      <c r="ARG67"/>
      <c r="ARH67"/>
      <c r="ARI67"/>
      <c r="ARJ67"/>
      <c r="ARK67"/>
      <c r="ARL67"/>
      <c r="ARM67"/>
      <c r="ARN67"/>
      <c r="ARO67"/>
      <c r="ARP67"/>
      <c r="ARQ67"/>
      <c r="ARR67"/>
      <c r="ARS67"/>
      <c r="ART67"/>
      <c r="ARU67"/>
      <c r="ARV67"/>
      <c r="ARW67"/>
      <c r="ARX67"/>
      <c r="ARY67"/>
      <c r="ARZ67"/>
      <c r="ASA67"/>
      <c r="ASB67"/>
      <c r="ASC67"/>
      <c r="ASD67"/>
      <c r="ASE67"/>
      <c r="ASF67"/>
      <c r="ASG67"/>
      <c r="ASH67"/>
      <c r="ASI67"/>
      <c r="ASJ67"/>
      <c r="ASK67"/>
      <c r="ASL67"/>
      <c r="ASM67"/>
      <c r="ASN67"/>
      <c r="ASO67"/>
      <c r="ASP67"/>
      <c r="ASQ67"/>
      <c r="ASR67"/>
      <c r="ASS67"/>
      <c r="AST67"/>
      <c r="ASU67"/>
      <c r="ASV67"/>
      <c r="ASW67"/>
      <c r="ASX67"/>
      <c r="ASY67"/>
      <c r="ASZ67"/>
      <c r="ATA67"/>
      <c r="ATB67"/>
      <c r="ATC67"/>
      <c r="ATD67"/>
      <c r="ATE67"/>
      <c r="ATF67"/>
      <c r="ATG67"/>
      <c r="ATH67"/>
      <c r="ATI67"/>
      <c r="ATJ67"/>
      <c r="ATK67"/>
      <c r="ATL67"/>
      <c r="ATM67"/>
      <c r="ATN67"/>
      <c r="ATO67"/>
      <c r="ATP67"/>
      <c r="ATQ67"/>
      <c r="ATR67"/>
      <c r="ATS67"/>
      <c r="ATT67"/>
      <c r="ATU67"/>
      <c r="ATV67"/>
      <c r="ATW67"/>
      <c r="ATX67"/>
      <c r="ATY67"/>
      <c r="ATZ67"/>
      <c r="AUA67"/>
      <c r="AUB67"/>
      <c r="AUC67"/>
      <c r="AUD67"/>
      <c r="AUE67"/>
      <c r="AUF67"/>
      <c r="AUG67"/>
      <c r="AUH67"/>
      <c r="AUI67"/>
      <c r="AUJ67"/>
      <c r="AUK67"/>
      <c r="AUL67"/>
      <c r="AUM67"/>
      <c r="AUN67"/>
      <c r="AUO67"/>
      <c r="AUP67"/>
      <c r="AUQ67"/>
      <c r="AUR67"/>
      <c r="AUS67"/>
      <c r="AUT67"/>
      <c r="AUU67"/>
      <c r="AUV67"/>
      <c r="AUW67"/>
      <c r="AUX67"/>
      <c r="AUY67"/>
      <c r="AUZ67"/>
      <c r="AVA67"/>
      <c r="AVB67"/>
      <c r="AVC67"/>
      <c r="AVD67"/>
      <c r="AVE67"/>
      <c r="AVF67"/>
      <c r="AVG67"/>
      <c r="AVH67"/>
      <c r="AVI67"/>
      <c r="AVJ67"/>
      <c r="AVK67"/>
      <c r="AVL67"/>
      <c r="AVM67"/>
      <c r="AVN67"/>
      <c r="AVO67"/>
      <c r="AVP67"/>
      <c r="AVQ67"/>
      <c r="AVR67"/>
      <c r="AVS67"/>
      <c r="AVT67"/>
      <c r="AVU67"/>
      <c r="AVV67"/>
      <c r="AVW67"/>
      <c r="AVX67"/>
      <c r="AVY67"/>
      <c r="AVZ67"/>
      <c r="AWA67"/>
      <c r="AWB67"/>
      <c r="AWC67"/>
      <c r="AWD67"/>
      <c r="AWE67"/>
      <c r="AWF67"/>
      <c r="AWG67"/>
      <c r="AWH67"/>
      <c r="AWI67"/>
      <c r="AWJ67"/>
      <c r="AWK67"/>
      <c r="AWL67"/>
      <c r="AWM67"/>
      <c r="AWN67"/>
      <c r="AWO67"/>
      <c r="AWP67"/>
      <c r="AWQ67"/>
      <c r="AWR67"/>
      <c r="AWS67"/>
      <c r="AWT67"/>
      <c r="AWU67"/>
      <c r="AWV67"/>
      <c r="AWW67"/>
      <c r="AWX67"/>
      <c r="AWY67"/>
      <c r="AWZ67"/>
      <c r="AXA67"/>
      <c r="AXB67"/>
      <c r="AXC67"/>
      <c r="AXD67"/>
      <c r="AXE67"/>
      <c r="AXF67"/>
      <c r="AXG67"/>
      <c r="AXH67"/>
      <c r="AXI67"/>
      <c r="AXJ67"/>
      <c r="AXK67"/>
      <c r="AXL67"/>
      <c r="AXM67"/>
      <c r="AXN67"/>
      <c r="AXO67"/>
      <c r="AXP67"/>
      <c r="AXQ67"/>
      <c r="AXR67"/>
      <c r="AXS67"/>
      <c r="AXT67"/>
      <c r="AXU67"/>
      <c r="AXV67"/>
      <c r="AXW67"/>
      <c r="AXX67"/>
      <c r="AXY67"/>
      <c r="AXZ67"/>
      <c r="AYA67"/>
      <c r="AYB67"/>
      <c r="AYC67"/>
      <c r="AYD67"/>
      <c r="AYE67"/>
      <c r="AYF67"/>
      <c r="AYG67"/>
      <c r="AYH67"/>
      <c r="AYI67"/>
      <c r="AYJ67"/>
      <c r="AYK67"/>
      <c r="AYL67"/>
      <c r="AYM67"/>
      <c r="AYN67"/>
      <c r="AYO67"/>
      <c r="AYP67"/>
      <c r="AYQ67"/>
      <c r="AYR67"/>
      <c r="AYS67"/>
      <c r="AYT67"/>
      <c r="AYU67"/>
      <c r="AYV67"/>
      <c r="AYW67"/>
      <c r="AYX67"/>
      <c r="AYY67"/>
      <c r="AYZ67"/>
      <c r="AZA67"/>
      <c r="AZB67"/>
      <c r="AZC67"/>
      <c r="AZD67"/>
      <c r="AZE67"/>
      <c r="AZF67"/>
      <c r="AZG67"/>
      <c r="AZH67"/>
      <c r="AZI67"/>
      <c r="AZJ67"/>
      <c r="AZK67"/>
      <c r="AZL67"/>
      <c r="AZM67"/>
      <c r="AZN67"/>
      <c r="AZO67"/>
      <c r="AZP67"/>
      <c r="AZQ67"/>
      <c r="AZR67"/>
      <c r="AZS67"/>
      <c r="AZT67"/>
      <c r="AZU67"/>
      <c r="AZV67"/>
      <c r="AZW67"/>
      <c r="AZX67"/>
      <c r="AZY67"/>
      <c r="AZZ67"/>
      <c r="BAA67"/>
      <c r="BAB67"/>
      <c r="BAC67"/>
      <c r="BAD67"/>
      <c r="BAE67"/>
      <c r="BAF67"/>
      <c r="BAG67"/>
      <c r="BAH67"/>
      <c r="BAI67"/>
      <c r="BAJ67"/>
      <c r="BAK67"/>
      <c r="BAL67"/>
      <c r="BAM67"/>
      <c r="BAN67"/>
      <c r="BAO67"/>
      <c r="BAP67"/>
      <c r="BAQ67"/>
      <c r="BAR67"/>
      <c r="BAS67"/>
      <c r="BAT67"/>
      <c r="BAU67"/>
      <c r="BAV67"/>
      <c r="BAW67"/>
      <c r="BAX67"/>
      <c r="BAY67"/>
      <c r="BAZ67"/>
      <c r="BBA67"/>
      <c r="BBB67"/>
      <c r="BBC67"/>
      <c r="BBD67"/>
      <c r="BBE67"/>
      <c r="BBF67"/>
      <c r="BBG67"/>
      <c r="BBH67"/>
      <c r="BBI67"/>
      <c r="BBJ67"/>
      <c r="BBK67"/>
      <c r="BBL67"/>
      <c r="BBM67"/>
      <c r="BBN67"/>
      <c r="BBO67"/>
      <c r="BBP67"/>
      <c r="BBQ67"/>
      <c r="BBR67"/>
      <c r="BBS67"/>
      <c r="BBT67"/>
      <c r="BBU67"/>
      <c r="BBV67"/>
      <c r="BBW67"/>
      <c r="BBX67"/>
      <c r="BBY67"/>
      <c r="BBZ67"/>
      <c r="BCA67"/>
      <c r="BCB67"/>
      <c r="BCC67"/>
      <c r="BCD67"/>
      <c r="BCE67"/>
      <c r="BCF67"/>
      <c r="BCG67"/>
      <c r="BCH67"/>
      <c r="BCI67"/>
      <c r="BCJ67"/>
      <c r="BCK67"/>
      <c r="BCL67"/>
      <c r="BCM67"/>
      <c r="BCN67"/>
      <c r="BCO67"/>
      <c r="BCP67"/>
      <c r="BCQ67"/>
      <c r="BCR67"/>
      <c r="BCS67"/>
      <c r="BCT67"/>
      <c r="BCU67"/>
      <c r="BCV67"/>
      <c r="BCW67"/>
      <c r="BCX67"/>
      <c r="BCY67"/>
      <c r="BCZ67"/>
      <c r="BDA67"/>
      <c r="BDB67"/>
      <c r="BDC67"/>
      <c r="BDD67"/>
      <c r="BDE67"/>
      <c r="BDF67"/>
      <c r="BDG67"/>
      <c r="BDH67"/>
      <c r="BDI67"/>
      <c r="BDJ67"/>
      <c r="BDK67"/>
      <c r="BDL67"/>
      <c r="BDM67"/>
      <c r="BDN67"/>
      <c r="BDO67"/>
      <c r="BDP67"/>
      <c r="BDQ67"/>
      <c r="BDR67"/>
      <c r="BDS67"/>
      <c r="BDT67"/>
      <c r="BDU67"/>
      <c r="BDV67"/>
      <c r="BDW67"/>
      <c r="BDX67"/>
      <c r="BDY67"/>
      <c r="BDZ67"/>
      <c r="BEA67"/>
      <c r="BEB67"/>
      <c r="BEC67"/>
      <c r="BED67"/>
      <c r="BEE67"/>
      <c r="BEF67"/>
      <c r="BEG67"/>
      <c r="BEH67"/>
      <c r="BEI67"/>
      <c r="BEJ67"/>
      <c r="BEK67"/>
      <c r="BEL67"/>
      <c r="BEM67"/>
      <c r="BEN67"/>
      <c r="BEO67"/>
      <c r="BEP67"/>
      <c r="BEQ67"/>
      <c r="BER67"/>
      <c r="BES67"/>
      <c r="BET67"/>
      <c r="BEU67"/>
      <c r="BEV67"/>
      <c r="BEW67"/>
      <c r="BEX67"/>
      <c r="BEY67"/>
      <c r="BEZ67"/>
      <c r="BFA67"/>
      <c r="BFB67"/>
      <c r="BFC67"/>
      <c r="BFD67"/>
      <c r="BFE67"/>
      <c r="BFF67"/>
      <c r="BFG67"/>
      <c r="BFH67"/>
      <c r="BFI67"/>
      <c r="BFJ67"/>
      <c r="BFK67"/>
      <c r="BFL67"/>
      <c r="BFM67"/>
      <c r="BFN67"/>
      <c r="BFO67"/>
      <c r="BFP67"/>
      <c r="BFQ67"/>
      <c r="BFR67"/>
      <c r="BFS67"/>
      <c r="BFT67"/>
      <c r="BFU67"/>
      <c r="BFV67"/>
      <c r="BFW67"/>
      <c r="BFX67"/>
      <c r="BFY67"/>
      <c r="BFZ67"/>
      <c r="BGA67"/>
      <c r="BGB67"/>
      <c r="BGC67"/>
      <c r="BGD67"/>
      <c r="BGE67"/>
      <c r="BGF67"/>
      <c r="BGG67"/>
      <c r="BGH67"/>
      <c r="BGI67"/>
      <c r="BGJ67"/>
      <c r="BGK67"/>
      <c r="BGL67"/>
      <c r="BGM67"/>
      <c r="BGN67"/>
      <c r="BGO67"/>
      <c r="BGP67"/>
      <c r="BGQ67"/>
      <c r="BGR67"/>
      <c r="BGS67"/>
      <c r="BGT67"/>
      <c r="BGU67"/>
      <c r="BGV67"/>
      <c r="BGW67"/>
      <c r="BGX67"/>
      <c r="BGY67"/>
      <c r="BGZ67"/>
      <c r="BHA67"/>
      <c r="BHB67"/>
      <c r="BHC67"/>
      <c r="BHD67"/>
      <c r="BHE67"/>
      <c r="BHF67"/>
      <c r="BHG67"/>
      <c r="BHH67"/>
      <c r="BHI67"/>
      <c r="BHJ67"/>
      <c r="BHK67"/>
      <c r="BHL67"/>
      <c r="BHM67"/>
      <c r="BHN67"/>
      <c r="BHO67"/>
      <c r="BHP67"/>
      <c r="BHQ67"/>
      <c r="BHR67"/>
      <c r="BHS67"/>
      <c r="BHT67"/>
      <c r="BHU67"/>
      <c r="BHV67"/>
      <c r="BHW67"/>
      <c r="BHX67"/>
      <c r="BHY67"/>
      <c r="BHZ67"/>
      <c r="BIA67"/>
      <c r="BIB67"/>
      <c r="BIC67"/>
      <c r="BID67"/>
      <c r="BIE67"/>
      <c r="BIF67"/>
      <c r="BIG67"/>
      <c r="BIH67"/>
      <c r="BII67"/>
      <c r="BIJ67"/>
      <c r="BIK67"/>
      <c r="BIL67"/>
      <c r="BIM67"/>
      <c r="BIN67"/>
      <c r="BIO67"/>
      <c r="BIP67"/>
      <c r="BIQ67"/>
      <c r="BIR67"/>
      <c r="BIS67"/>
      <c r="BIT67"/>
      <c r="BIU67"/>
      <c r="BIV67"/>
      <c r="BIW67"/>
      <c r="BIX67"/>
      <c r="BIY67"/>
      <c r="BIZ67"/>
      <c r="BJA67"/>
      <c r="BJB67"/>
      <c r="BJC67"/>
      <c r="BJD67"/>
      <c r="BJE67"/>
      <c r="BJF67"/>
      <c r="BJG67"/>
      <c r="BJH67"/>
      <c r="BJI67"/>
      <c r="BJJ67"/>
      <c r="BJK67"/>
      <c r="BJL67"/>
      <c r="BJM67"/>
      <c r="BJN67"/>
      <c r="BJO67"/>
      <c r="BJP67"/>
      <c r="BJQ67"/>
      <c r="BJR67"/>
      <c r="BJS67"/>
      <c r="BJT67"/>
      <c r="BJU67"/>
      <c r="BJV67"/>
      <c r="BJW67"/>
      <c r="BJX67"/>
      <c r="BJY67"/>
      <c r="BJZ67"/>
      <c r="BKA67"/>
      <c r="BKB67"/>
      <c r="BKC67"/>
      <c r="BKD67"/>
      <c r="BKE67"/>
      <c r="BKF67"/>
      <c r="BKG67"/>
      <c r="BKH67"/>
      <c r="BKI67"/>
      <c r="BKJ67"/>
      <c r="BKK67"/>
      <c r="BKL67"/>
      <c r="BKM67"/>
      <c r="BKN67"/>
      <c r="BKO67"/>
      <c r="BKP67"/>
      <c r="BKQ67"/>
      <c r="BKR67"/>
      <c r="BKS67"/>
      <c r="BKT67"/>
      <c r="BKU67"/>
      <c r="BKV67"/>
      <c r="BKW67"/>
      <c r="BKX67"/>
      <c r="BKY67"/>
      <c r="BKZ67"/>
      <c r="BLA67"/>
      <c r="BLB67"/>
      <c r="BLC67"/>
      <c r="BLD67"/>
      <c r="BLE67"/>
      <c r="BLF67"/>
      <c r="BLG67"/>
      <c r="BLH67"/>
      <c r="BLI67"/>
      <c r="BLJ67"/>
      <c r="BLK67"/>
      <c r="BLL67"/>
      <c r="BLM67"/>
      <c r="BLN67"/>
      <c r="BLO67"/>
      <c r="BLP67"/>
      <c r="BLQ67"/>
      <c r="BLR67"/>
      <c r="BLS67"/>
      <c r="BLT67"/>
      <c r="BLU67"/>
      <c r="BLV67"/>
      <c r="BLW67"/>
      <c r="BLX67"/>
      <c r="BLY67"/>
      <c r="BLZ67"/>
      <c r="BMA67"/>
      <c r="BMB67"/>
      <c r="BMC67"/>
      <c r="BMD67"/>
      <c r="BME67"/>
      <c r="BMF67"/>
      <c r="BMG67"/>
      <c r="BMH67"/>
      <c r="BMI67"/>
      <c r="BMJ67"/>
      <c r="BMK67"/>
      <c r="BML67"/>
      <c r="BMM67"/>
      <c r="BMN67"/>
      <c r="BMO67"/>
      <c r="BMP67"/>
      <c r="BMQ67"/>
      <c r="BMR67"/>
      <c r="BMS67"/>
      <c r="BMT67"/>
      <c r="BMU67"/>
      <c r="BMV67"/>
      <c r="BMW67"/>
      <c r="BMX67"/>
      <c r="BMY67"/>
      <c r="BMZ67"/>
      <c r="BNA67"/>
      <c r="BNB67"/>
      <c r="BNC67"/>
      <c r="BND67"/>
      <c r="BNE67"/>
      <c r="BNF67"/>
      <c r="BNG67"/>
      <c r="BNH67"/>
      <c r="BNI67"/>
      <c r="BNJ67"/>
      <c r="BNK67"/>
      <c r="BNL67"/>
      <c r="BNM67"/>
      <c r="BNN67"/>
      <c r="BNO67"/>
      <c r="BNP67"/>
      <c r="BNQ67"/>
      <c r="BNR67"/>
      <c r="BNS67"/>
      <c r="BNT67"/>
      <c r="BNU67"/>
      <c r="BNV67"/>
      <c r="BNW67"/>
      <c r="BNX67"/>
      <c r="BNY67"/>
      <c r="BNZ67"/>
      <c r="BOA67"/>
      <c r="BOB67"/>
      <c r="BOC67"/>
      <c r="BOD67"/>
      <c r="BOE67"/>
      <c r="BOF67"/>
      <c r="BOG67"/>
      <c r="BOH67"/>
      <c r="BOI67"/>
      <c r="BOJ67"/>
      <c r="BOK67"/>
      <c r="BOL67"/>
      <c r="BOM67"/>
      <c r="BON67"/>
      <c r="BOO67"/>
      <c r="BOP67"/>
      <c r="BOQ67"/>
      <c r="BOR67"/>
      <c r="BOS67"/>
      <c r="BOT67"/>
      <c r="BOU67"/>
      <c r="BOV67"/>
      <c r="BOW67"/>
      <c r="BOX67"/>
      <c r="BOY67"/>
      <c r="BOZ67"/>
      <c r="BPA67"/>
      <c r="BPB67"/>
      <c r="BPC67"/>
      <c r="BPD67"/>
      <c r="BPE67"/>
      <c r="BPF67"/>
      <c r="BPG67"/>
      <c r="BPH67"/>
      <c r="BPI67"/>
      <c r="BPJ67"/>
      <c r="BPK67"/>
      <c r="BPL67"/>
      <c r="BPM67"/>
      <c r="BPN67"/>
      <c r="BPO67"/>
      <c r="BPP67"/>
      <c r="BPQ67"/>
      <c r="BPR67"/>
      <c r="BPS67"/>
      <c r="BPT67"/>
      <c r="BPU67"/>
      <c r="BPV67"/>
      <c r="BPW67"/>
      <c r="BPX67"/>
      <c r="BPY67"/>
      <c r="BPZ67"/>
      <c r="BQA67"/>
      <c r="BQB67"/>
      <c r="BQC67"/>
      <c r="BQD67"/>
      <c r="BQE67"/>
      <c r="BQF67"/>
      <c r="BQG67"/>
      <c r="BQH67"/>
      <c r="BQI67"/>
      <c r="BQJ67"/>
      <c r="BQK67"/>
      <c r="BQL67"/>
      <c r="BQM67"/>
      <c r="BQN67"/>
      <c r="BQO67"/>
      <c r="BQP67"/>
      <c r="BQQ67"/>
      <c r="BQR67"/>
      <c r="BQS67"/>
      <c r="BQT67"/>
      <c r="BQU67"/>
      <c r="BQV67"/>
      <c r="BQW67"/>
      <c r="BQX67"/>
      <c r="BQY67"/>
      <c r="BQZ67"/>
      <c r="BRA67"/>
      <c r="BRB67"/>
      <c r="BRC67"/>
      <c r="BRD67"/>
      <c r="BRE67"/>
      <c r="BRF67"/>
      <c r="BRG67"/>
      <c r="BRH67"/>
      <c r="BRI67"/>
      <c r="BRJ67"/>
      <c r="BRK67"/>
      <c r="BRL67"/>
      <c r="BRM67"/>
      <c r="BRN67"/>
      <c r="BRO67"/>
      <c r="BRP67"/>
      <c r="BRQ67"/>
      <c r="BRR67"/>
      <c r="BRS67"/>
      <c r="BRT67"/>
      <c r="BRU67"/>
      <c r="BRV67"/>
      <c r="BRW67"/>
      <c r="BRX67"/>
      <c r="BRY67"/>
      <c r="BRZ67"/>
      <c r="BSA67"/>
      <c r="BSB67"/>
      <c r="BSC67"/>
      <c r="BSD67"/>
      <c r="BSE67"/>
      <c r="BSF67"/>
      <c r="BSG67"/>
      <c r="BSH67"/>
      <c r="BSI67"/>
      <c r="BSJ67"/>
      <c r="BSK67"/>
      <c r="BSL67"/>
      <c r="BSM67"/>
      <c r="BSN67"/>
      <c r="BSO67"/>
      <c r="BSP67"/>
      <c r="BSQ67"/>
      <c r="BSR67"/>
      <c r="BSS67"/>
      <c r="BST67"/>
      <c r="BSU67"/>
      <c r="BSV67"/>
      <c r="BSW67"/>
      <c r="BSX67"/>
      <c r="BSY67"/>
      <c r="BSZ67"/>
      <c r="BTA67"/>
      <c r="BTB67"/>
      <c r="BTC67"/>
      <c r="BTD67"/>
      <c r="BTE67"/>
      <c r="BTF67"/>
      <c r="BTG67"/>
      <c r="BTH67"/>
      <c r="BTI67"/>
      <c r="BTJ67"/>
      <c r="BTK67"/>
      <c r="BTL67"/>
      <c r="BTM67"/>
      <c r="BTN67"/>
      <c r="BTO67"/>
      <c r="BTP67"/>
      <c r="BTQ67"/>
      <c r="BTR67"/>
      <c r="BTS67"/>
      <c r="BTT67"/>
      <c r="BTU67"/>
      <c r="BTV67"/>
      <c r="BTW67"/>
      <c r="BTX67"/>
      <c r="BTY67"/>
      <c r="BTZ67"/>
      <c r="BUA67"/>
      <c r="BUB67"/>
      <c r="BUC67"/>
      <c r="BUD67"/>
      <c r="BUE67"/>
      <c r="BUF67"/>
      <c r="BUG67"/>
      <c r="BUH67"/>
      <c r="BUI67"/>
      <c r="BUJ67"/>
      <c r="BUK67"/>
      <c r="BUL67"/>
      <c r="BUM67"/>
      <c r="BUN67"/>
      <c r="BUO67"/>
      <c r="BUP67"/>
      <c r="BUQ67"/>
      <c r="BUR67"/>
      <c r="BUS67"/>
      <c r="BUT67"/>
      <c r="BUU67"/>
      <c r="BUV67"/>
      <c r="BUW67"/>
      <c r="BUX67"/>
      <c r="BUY67"/>
      <c r="BUZ67"/>
      <c r="BVA67"/>
      <c r="BVB67"/>
      <c r="BVC67"/>
      <c r="BVD67"/>
      <c r="BVE67"/>
      <c r="BVF67"/>
      <c r="BVG67"/>
      <c r="BVH67"/>
      <c r="BVI67"/>
      <c r="BVJ67"/>
      <c r="BVK67"/>
      <c r="BVL67"/>
      <c r="BVM67"/>
      <c r="BVN67"/>
      <c r="BVO67"/>
      <c r="BVP67"/>
      <c r="BVQ67"/>
      <c r="BVR67"/>
      <c r="BVS67"/>
      <c r="BVT67"/>
      <c r="BVU67"/>
      <c r="BVV67"/>
      <c r="BVW67"/>
      <c r="BVX67"/>
      <c r="BVY67"/>
      <c r="BVZ67"/>
      <c r="BWA67"/>
      <c r="BWB67"/>
      <c r="BWC67"/>
      <c r="BWD67"/>
      <c r="BWE67"/>
      <c r="BWF67"/>
      <c r="BWG67"/>
      <c r="BWH67"/>
      <c r="BWI67"/>
      <c r="BWJ67"/>
      <c r="BWK67"/>
      <c r="BWL67"/>
      <c r="BWM67"/>
      <c r="BWN67"/>
      <c r="BWO67"/>
      <c r="BWP67"/>
      <c r="BWQ67"/>
      <c r="BWR67"/>
      <c r="BWS67"/>
      <c r="BWT67"/>
      <c r="BWU67"/>
      <c r="BWV67"/>
      <c r="BWW67"/>
      <c r="BWX67"/>
      <c r="BWY67"/>
      <c r="BWZ67"/>
      <c r="BXA67"/>
      <c r="BXB67"/>
      <c r="BXC67"/>
      <c r="BXD67"/>
      <c r="BXE67"/>
      <c r="BXF67"/>
      <c r="BXG67"/>
      <c r="BXH67"/>
      <c r="BXI67"/>
      <c r="BXJ67"/>
      <c r="BXK67"/>
      <c r="BXL67"/>
      <c r="BXM67"/>
      <c r="BXN67"/>
      <c r="BXO67"/>
      <c r="BXP67"/>
      <c r="BXQ67"/>
      <c r="BXR67"/>
      <c r="BXS67"/>
      <c r="BXT67"/>
      <c r="BXU67"/>
      <c r="BXV67"/>
      <c r="BXW67"/>
      <c r="BXX67"/>
      <c r="BXY67"/>
      <c r="BXZ67"/>
      <c r="BYA67"/>
      <c r="BYB67"/>
      <c r="BYC67"/>
      <c r="BYD67"/>
      <c r="BYE67"/>
      <c r="BYF67"/>
      <c r="BYG67"/>
    </row>
    <row r="68" spans="1:2009" ht="9" customHeight="1" thickBot="1" x14ac:dyDescent="0.3">
      <c r="A68" s="536"/>
      <c r="B68" s="536"/>
      <c r="C68" s="349"/>
      <c r="D68" s="142"/>
      <c r="E68" s="142"/>
      <c r="F68" s="142"/>
      <c r="G68" s="515"/>
    </row>
    <row r="69" spans="1:2009" ht="24.95" hidden="1" customHeight="1" x14ac:dyDescent="0.25">
      <c r="A69" s="637" t="s">
        <v>440</v>
      </c>
      <c r="B69" s="638"/>
      <c r="C69" s="639"/>
      <c r="D69" s="639"/>
      <c r="E69" s="648"/>
      <c r="F69" s="639"/>
      <c r="G69" s="647">
        <f>SUM(C69:F69)</f>
        <v>0</v>
      </c>
    </row>
    <row r="70" spans="1:2009" ht="24.95" hidden="1" customHeight="1" x14ac:dyDescent="0.25">
      <c r="A70" s="772" t="s">
        <v>394</v>
      </c>
      <c r="B70" s="773"/>
      <c r="C70" s="774"/>
      <c r="D70" s="774"/>
      <c r="E70" s="774"/>
      <c r="F70" s="774"/>
      <c r="G70" s="775">
        <f>SUM(C70:F70)</f>
        <v>0</v>
      </c>
    </row>
    <row r="71" spans="1:2009" ht="24.95" customHeight="1" thickBot="1" x14ac:dyDescent="0.3">
      <c r="A71" s="776" t="s">
        <v>660</v>
      </c>
      <c r="B71" s="777"/>
      <c r="C71" s="778"/>
      <c r="D71" s="778">
        <v>1250</v>
      </c>
      <c r="E71" s="778"/>
      <c r="F71" s="778"/>
      <c r="G71" s="779">
        <f>SUM(C71:F71)</f>
        <v>1250</v>
      </c>
    </row>
    <row r="72" spans="1:2009" ht="12.75" customHeight="1" thickBot="1" x14ac:dyDescent="0.3">
      <c r="A72" s="88"/>
      <c r="B72" s="88"/>
      <c r="C72" s="137"/>
      <c r="D72" s="137"/>
      <c r="E72" s="137"/>
      <c r="F72" s="137"/>
      <c r="G72" s="525"/>
    </row>
    <row r="73" spans="1:2009" s="160" customFormat="1" ht="24.95" customHeight="1" thickBot="1" x14ac:dyDescent="0.3">
      <c r="A73" s="188"/>
      <c r="B73" s="373" t="s">
        <v>658</v>
      </c>
      <c r="C73" s="228">
        <f>SUM(C8+C14+C23+C27+C32+C44+C56)+C36+C51+C60+C62+C58+C67+C65+C71</f>
        <v>112674.45</v>
      </c>
      <c r="D73" s="228">
        <f>SUM(D8+D14+D23+D27+D32+D44+D56)+D36+D51+D60+D62+D58+D67+D65+D71+D64</f>
        <v>106176.63999999998</v>
      </c>
      <c r="E73" s="228">
        <f>SUM(E8+E14+E23+E27+E32+E44+E56)+E36+E51+E60+E62+E65+E71+E64</f>
        <v>22523.31</v>
      </c>
      <c r="F73" s="228">
        <f>SUM(F8+F14+F23+F27+F32+F44+F56)+F36+F51+F60+F65+F71+F62+F64+F58+F67</f>
        <v>77625</v>
      </c>
      <c r="G73" s="535">
        <f>SUM(G8+G14+G23+G27+G32+G44+G56)+G36+G51+G60+G62+G58+G67+G65+G71+G64</f>
        <v>318999.39999999997</v>
      </c>
      <c r="I73" s="21"/>
    </row>
    <row r="74" spans="1:2009" s="160" customFormat="1" ht="9" customHeight="1" x14ac:dyDescent="0.25">
      <c r="A74" s="547"/>
      <c r="B74" s="548"/>
      <c r="C74" s="549"/>
      <c r="D74" s="549"/>
      <c r="E74" s="549"/>
      <c r="F74" s="549"/>
      <c r="G74" s="550"/>
      <c r="I74" s="21"/>
    </row>
    <row r="75" spans="1:2009" ht="22.5" customHeight="1" x14ac:dyDescent="0.25">
      <c r="A75" s="90"/>
      <c r="B75" s="545" t="s">
        <v>357</v>
      </c>
      <c r="C75" s="546">
        <f>C73/G$73</f>
        <v>0.35321210635505901</v>
      </c>
      <c r="D75" s="546">
        <f>D73/$G73</f>
        <v>0.33284275769797683</v>
      </c>
      <c r="E75" s="546">
        <f t="shared" ref="E75:G75" si="4">E73/$G73</f>
        <v>7.060612026229518E-2</v>
      </c>
      <c r="F75" s="546">
        <f t="shared" si="4"/>
        <v>0.24333901568466904</v>
      </c>
      <c r="G75" s="546">
        <f t="shared" si="4"/>
        <v>1</v>
      </c>
    </row>
    <row r="76" spans="1:2009" ht="10.5" customHeight="1" x14ac:dyDescent="0.25">
      <c r="A76" s="90"/>
      <c r="B76" s="90"/>
      <c r="C76" s="157"/>
      <c r="D76" s="157"/>
      <c r="E76" s="157"/>
      <c r="F76" s="157"/>
    </row>
    <row r="77" spans="1:2009" ht="15" customHeight="1" x14ac:dyDescent="0.25">
      <c r="B77" s="261" t="s">
        <v>659</v>
      </c>
      <c r="C77" s="157"/>
      <c r="D77" s="157"/>
      <c r="E77" s="157"/>
      <c r="F77" s="157"/>
    </row>
    <row r="78" spans="1:2009" ht="8.25" customHeight="1" x14ac:dyDescent="0.25">
      <c r="B78" s="127"/>
      <c r="C78" s="157"/>
      <c r="D78" s="157"/>
      <c r="E78" s="157"/>
      <c r="F78" s="157"/>
    </row>
    <row r="79" spans="1:2009" ht="14.25" customHeight="1" x14ac:dyDescent="0.25">
      <c r="B79" s="440" t="s">
        <v>44</v>
      </c>
      <c r="C79" s="442">
        <v>13066.91</v>
      </c>
      <c r="D79" s="157"/>
      <c r="E79" s="157"/>
      <c r="F79" s="157"/>
    </row>
    <row r="80" spans="1:2009" ht="14.25" customHeight="1" x14ac:dyDescent="0.25">
      <c r="B80" s="440" t="s">
        <v>661</v>
      </c>
      <c r="C80" s="442">
        <v>33774.03</v>
      </c>
      <c r="D80" s="157"/>
      <c r="E80" s="157"/>
      <c r="F80" s="157"/>
    </row>
    <row r="81" spans="2:6" ht="14.25" customHeight="1" x14ac:dyDescent="0.25">
      <c r="B81" s="440" t="s">
        <v>666</v>
      </c>
      <c r="C81" s="442">
        <v>22522.86</v>
      </c>
      <c r="D81" s="157"/>
      <c r="E81" s="157"/>
      <c r="F81" s="157"/>
    </row>
    <row r="82" spans="2:6" ht="14.25" hidden="1" customHeight="1" x14ac:dyDescent="0.25">
      <c r="B82" s="440" t="s">
        <v>646</v>
      </c>
      <c r="C82" s="442"/>
      <c r="D82" s="157"/>
      <c r="E82" s="157"/>
      <c r="F82" s="157"/>
    </row>
    <row r="83" spans="2:6" ht="14.25" hidden="1" customHeight="1" x14ac:dyDescent="0.25">
      <c r="B83" s="440" t="s">
        <v>653</v>
      </c>
      <c r="C83" s="442"/>
      <c r="D83" s="157"/>
      <c r="E83" s="157"/>
      <c r="F83" s="157"/>
    </row>
    <row r="84" spans="2:6" ht="14.25" hidden="1" customHeight="1" x14ac:dyDescent="0.25">
      <c r="B84" s="440" t="s">
        <v>647</v>
      </c>
      <c r="C84" s="442"/>
      <c r="D84" s="157"/>
      <c r="E84" s="157"/>
      <c r="F84" s="157"/>
    </row>
    <row r="85" spans="2:6" ht="14.25" customHeight="1" x14ac:dyDescent="0.25">
      <c r="B85" s="440" t="s">
        <v>648</v>
      </c>
      <c r="C85" s="442">
        <v>4166.67</v>
      </c>
      <c r="D85" s="157"/>
      <c r="E85" s="157"/>
      <c r="F85" s="157"/>
    </row>
    <row r="86" spans="2:6" ht="14.25" hidden="1" customHeight="1" x14ac:dyDescent="0.25">
      <c r="B86" s="440" t="s">
        <v>556</v>
      </c>
      <c r="C86" s="442"/>
      <c r="D86" s="157"/>
      <c r="E86" s="157"/>
      <c r="F86" s="157"/>
    </row>
    <row r="87" spans="2:6" ht="14.25" customHeight="1" x14ac:dyDescent="0.25">
      <c r="B87" s="440" t="s">
        <v>665</v>
      </c>
      <c r="C87" s="442">
        <v>1250</v>
      </c>
      <c r="D87" s="157"/>
      <c r="E87" s="157"/>
      <c r="F87" s="157"/>
    </row>
    <row r="88" spans="2:6" ht="14.25" hidden="1" customHeight="1" x14ac:dyDescent="0.25">
      <c r="B88" s="440" t="s">
        <v>581</v>
      </c>
      <c r="C88" s="442"/>
      <c r="D88" s="157"/>
      <c r="E88" s="157"/>
      <c r="F88" s="157"/>
    </row>
    <row r="89" spans="2:6" ht="14.25" customHeight="1" x14ac:dyDescent="0.25">
      <c r="B89" s="440" t="s">
        <v>543</v>
      </c>
      <c r="C89" s="442">
        <v>1355.12</v>
      </c>
      <c r="D89" s="157"/>
      <c r="E89" s="157"/>
      <c r="F89" s="157"/>
    </row>
    <row r="90" spans="2:6" ht="14.25" hidden="1" customHeight="1" x14ac:dyDescent="0.25">
      <c r="B90" s="440" t="s">
        <v>557</v>
      </c>
      <c r="C90" s="442"/>
      <c r="D90" s="157"/>
      <c r="E90" s="157"/>
      <c r="F90" s="157"/>
    </row>
    <row r="91" spans="2:6" ht="14.25" hidden="1" customHeight="1" x14ac:dyDescent="0.25">
      <c r="B91" s="440" t="s">
        <v>446</v>
      </c>
      <c r="C91" s="442"/>
      <c r="D91" s="157"/>
      <c r="E91" s="157"/>
      <c r="F91" s="157"/>
    </row>
    <row r="92" spans="2:6" ht="14.25" hidden="1" customHeight="1" x14ac:dyDescent="0.25">
      <c r="B92" s="440" t="s">
        <v>654</v>
      </c>
      <c r="C92" s="442"/>
      <c r="D92" s="157"/>
      <c r="E92" s="157"/>
      <c r="F92" s="157"/>
    </row>
    <row r="93" spans="2:6" ht="14.25" customHeight="1" x14ac:dyDescent="0.25">
      <c r="B93" s="440" t="s">
        <v>649</v>
      </c>
      <c r="C93" s="442">
        <v>19613.849999999999</v>
      </c>
      <c r="D93" s="157"/>
      <c r="E93" s="157"/>
      <c r="F93" s="157"/>
    </row>
    <row r="94" spans="2:6" ht="14.25" customHeight="1" x14ac:dyDescent="0.25">
      <c r="B94" s="440" t="s">
        <v>662</v>
      </c>
      <c r="C94" s="442">
        <v>26000</v>
      </c>
      <c r="D94" s="157"/>
      <c r="E94" s="157"/>
      <c r="F94" s="157"/>
    </row>
    <row r="95" spans="2:6" ht="14.25" customHeight="1" x14ac:dyDescent="0.25">
      <c r="B95" s="440" t="s">
        <v>663</v>
      </c>
      <c r="C95" s="442">
        <v>4500</v>
      </c>
      <c r="D95" s="157"/>
      <c r="E95" s="157"/>
      <c r="F95" s="157"/>
    </row>
    <row r="96" spans="2:6" ht="14.25" customHeight="1" x14ac:dyDescent="0.25">
      <c r="B96" s="440" t="s">
        <v>664</v>
      </c>
      <c r="C96" s="442">
        <v>1250</v>
      </c>
      <c r="D96" s="157"/>
      <c r="E96" s="157"/>
      <c r="F96" s="157"/>
    </row>
    <row r="97" spans="2:6" ht="15" x14ac:dyDescent="0.25">
      <c r="B97" s="128" t="s">
        <v>667</v>
      </c>
      <c r="C97" s="295">
        <f>SUM(C78:C96)</f>
        <v>127499.44</v>
      </c>
      <c r="D97" s="157"/>
      <c r="E97" s="157"/>
      <c r="F97" s="157"/>
    </row>
    <row r="98" spans="2:6" ht="5.25" customHeight="1" x14ac:dyDescent="0.2">
      <c r="C98" s="157"/>
      <c r="D98" s="157"/>
      <c r="E98" s="157"/>
      <c r="F98" s="157"/>
    </row>
    <row r="99" spans="2:6" ht="15.75" thickBot="1" x14ac:dyDescent="0.3">
      <c r="B99" s="128" t="s">
        <v>668</v>
      </c>
      <c r="C99" s="321">
        <f>G73-C97</f>
        <v>191499.95999999996</v>
      </c>
      <c r="D99" s="157"/>
      <c r="E99" s="157"/>
      <c r="F99" s="157"/>
    </row>
    <row r="100" spans="2:6" ht="12" customHeight="1" thickTop="1" x14ac:dyDescent="0.2">
      <c r="C100" s="157"/>
      <c r="D100" s="157"/>
      <c r="E100" s="157"/>
      <c r="F100" s="157"/>
    </row>
    <row r="101" spans="2:6" ht="15.75" x14ac:dyDescent="0.25">
      <c r="B101" s="261" t="s">
        <v>173</v>
      </c>
      <c r="C101" s="157"/>
      <c r="D101" s="157"/>
      <c r="E101" s="157"/>
      <c r="F101" s="157"/>
    </row>
    <row r="102" spans="2:6" ht="16.5" hidden="1" customHeight="1" x14ac:dyDescent="0.2">
      <c r="B102" s="441"/>
      <c r="C102" s="442"/>
      <c r="D102" s="157"/>
      <c r="E102" s="157"/>
      <c r="F102" s="157"/>
    </row>
    <row r="103" spans="2:6" ht="16.5" hidden="1" customHeight="1" x14ac:dyDescent="0.2">
      <c r="B103" s="441"/>
      <c r="C103" s="442"/>
      <c r="D103" s="157"/>
      <c r="E103" s="157"/>
      <c r="F103" s="157"/>
    </row>
    <row r="104" spans="2:6" ht="16.5" hidden="1" customHeight="1" x14ac:dyDescent="0.2">
      <c r="B104" s="441"/>
      <c r="C104" s="442"/>
      <c r="D104" s="157"/>
      <c r="E104" s="157"/>
      <c r="F104" s="157"/>
    </row>
    <row r="105" spans="2:6" ht="16.5" hidden="1" customHeight="1" x14ac:dyDescent="0.2">
      <c r="B105" s="441"/>
      <c r="C105" s="442"/>
      <c r="D105" s="157"/>
      <c r="E105" s="157"/>
      <c r="F105" s="157"/>
    </row>
    <row r="106" spans="2:6" ht="16.5" hidden="1" customHeight="1" x14ac:dyDescent="0.2">
      <c r="B106" s="441"/>
      <c r="C106" s="442"/>
      <c r="D106" s="157"/>
      <c r="E106" s="157"/>
      <c r="F106" s="157"/>
    </row>
    <row r="107" spans="2:6" ht="16.5" hidden="1" customHeight="1" x14ac:dyDescent="0.2">
      <c r="B107" s="441"/>
      <c r="C107" s="442"/>
      <c r="D107" s="157"/>
      <c r="E107" s="157"/>
      <c r="F107" s="157"/>
    </row>
    <row r="108" spans="2:6" ht="16.5" hidden="1" customHeight="1" x14ac:dyDescent="0.2">
      <c r="B108" s="441"/>
      <c r="C108" s="442"/>
      <c r="D108" s="157"/>
      <c r="E108" s="157"/>
      <c r="F108" s="157"/>
    </row>
    <row r="109" spans="2:6" ht="16.5" hidden="1" customHeight="1" x14ac:dyDescent="0.2">
      <c r="B109" s="441"/>
      <c r="C109" s="442"/>
      <c r="D109" s="157"/>
      <c r="E109" s="157"/>
      <c r="F109" s="157"/>
    </row>
    <row r="110" spans="2:6" ht="16.5" hidden="1" customHeight="1" x14ac:dyDescent="0.2">
      <c r="B110" s="441"/>
      <c r="C110" s="442"/>
      <c r="D110" s="157"/>
      <c r="E110" s="157"/>
      <c r="F110" s="157"/>
    </row>
    <row r="111" spans="2:6" ht="16.5" hidden="1" customHeight="1" x14ac:dyDescent="0.2">
      <c r="B111" s="441"/>
      <c r="C111" s="442"/>
      <c r="D111" s="157"/>
      <c r="E111" s="157"/>
      <c r="F111" s="157"/>
    </row>
    <row r="112" spans="2:6" ht="16.5" hidden="1" customHeight="1" x14ac:dyDescent="0.2">
      <c r="B112" s="441"/>
      <c r="C112" s="442"/>
      <c r="D112" s="157"/>
      <c r="E112" s="157"/>
      <c r="F112" s="157"/>
    </row>
    <row r="113" spans="2:6" ht="16.5" hidden="1" customHeight="1" x14ac:dyDescent="0.2">
      <c r="B113" s="441"/>
      <c r="C113" s="442"/>
      <c r="D113" s="157"/>
      <c r="E113" s="157"/>
      <c r="F113" s="157"/>
    </row>
    <row r="114" spans="2:6" ht="16.5" hidden="1" customHeight="1" x14ac:dyDescent="0.2">
      <c r="B114" s="441"/>
      <c r="C114" s="442"/>
      <c r="D114" s="157"/>
      <c r="E114" s="157"/>
      <c r="F114" s="157"/>
    </row>
    <row r="115" spans="2:6" ht="16.5" hidden="1" customHeight="1" x14ac:dyDescent="0.2">
      <c r="B115" s="441"/>
      <c r="C115" s="442"/>
      <c r="D115" s="157"/>
      <c r="E115" s="157"/>
      <c r="F115" s="157"/>
    </row>
    <row r="116" spans="2:6" ht="16.5" hidden="1" customHeight="1" x14ac:dyDescent="0.2">
      <c r="B116" s="441"/>
      <c r="C116" s="442"/>
      <c r="D116" s="157"/>
      <c r="E116" s="157"/>
      <c r="F116" s="157"/>
    </row>
    <row r="117" spans="2:6" ht="16.5" hidden="1" customHeight="1" x14ac:dyDescent="0.2">
      <c r="B117" s="441"/>
      <c r="C117" s="442"/>
      <c r="D117" s="157"/>
      <c r="E117" s="157"/>
      <c r="F117" s="157"/>
    </row>
    <row r="118" spans="2:6" ht="16.5" hidden="1" customHeight="1" x14ac:dyDescent="0.2">
      <c r="B118" s="441"/>
      <c r="C118" s="442"/>
      <c r="D118" s="157"/>
      <c r="E118" s="157"/>
      <c r="F118" s="157"/>
    </row>
    <row r="119" spans="2:6" ht="16.5" hidden="1" customHeight="1" x14ac:dyDescent="0.2">
      <c r="B119" s="441"/>
      <c r="C119" s="442"/>
      <c r="D119" s="157"/>
      <c r="E119" s="157"/>
      <c r="F119" s="157"/>
    </row>
    <row r="120" spans="2:6" ht="16.5" hidden="1" customHeight="1" x14ac:dyDescent="0.2">
      <c r="B120" s="441"/>
      <c r="C120" s="442"/>
      <c r="D120" s="157"/>
      <c r="E120" s="157"/>
      <c r="F120" s="157"/>
    </row>
    <row r="121" spans="2:6" ht="16.5" hidden="1" customHeight="1" x14ac:dyDescent="0.2">
      <c r="B121" s="441"/>
      <c r="C121" s="442"/>
      <c r="D121" s="157"/>
      <c r="E121" s="157"/>
      <c r="F121" s="157"/>
    </row>
    <row r="122" spans="2:6" ht="16.5" hidden="1" customHeight="1" x14ac:dyDescent="0.2">
      <c r="B122" s="441"/>
      <c r="C122" s="442"/>
      <c r="D122" s="157"/>
      <c r="E122" s="157"/>
      <c r="F122" s="157"/>
    </row>
    <row r="123" spans="2:6" ht="16.5" hidden="1" customHeight="1" x14ac:dyDescent="0.2">
      <c r="B123" s="441"/>
      <c r="C123" s="442"/>
      <c r="D123" s="157"/>
      <c r="E123" s="157"/>
      <c r="F123" s="157"/>
    </row>
    <row r="124" spans="2:6" ht="16.5" hidden="1" customHeight="1" x14ac:dyDescent="0.2">
      <c r="B124" s="441"/>
      <c r="C124" s="442"/>
      <c r="D124" s="157"/>
      <c r="E124" s="157"/>
      <c r="F124" s="157"/>
    </row>
    <row r="125" spans="2:6" ht="16.5" hidden="1" customHeight="1" x14ac:dyDescent="0.2">
      <c r="B125" s="441"/>
      <c r="C125" s="442"/>
      <c r="D125" s="157"/>
      <c r="E125" s="157"/>
      <c r="F125" s="157"/>
    </row>
    <row r="126" spans="2:6" ht="16.5" hidden="1" customHeight="1" x14ac:dyDescent="0.2">
      <c r="B126" s="441"/>
      <c r="C126" s="442"/>
      <c r="D126" s="157"/>
      <c r="E126" s="157"/>
      <c r="F126" s="157"/>
    </row>
    <row r="127" spans="2:6" ht="15" hidden="1" x14ac:dyDescent="0.2">
      <c r="B127" s="423"/>
      <c r="C127" s="157"/>
      <c r="D127" s="157"/>
      <c r="E127" s="157"/>
      <c r="F127" s="157"/>
    </row>
    <row r="128" spans="2:6" hidden="1" x14ac:dyDescent="0.2">
      <c r="B128" s="229"/>
      <c r="C128" s="157"/>
      <c r="D128" s="157"/>
      <c r="E128" s="157"/>
      <c r="F128" s="157"/>
    </row>
    <row r="129" spans="2:6" hidden="1" x14ac:dyDescent="0.2">
      <c r="B129" s="229"/>
      <c r="C129" s="157"/>
      <c r="D129" s="157"/>
      <c r="E129" s="157"/>
      <c r="F129" s="157"/>
    </row>
    <row r="130" spans="2:6" hidden="1" x14ac:dyDescent="0.2">
      <c r="B130" s="229"/>
      <c r="C130" s="157"/>
      <c r="D130" s="157"/>
      <c r="E130" s="157"/>
      <c r="F130" s="157"/>
    </row>
    <row r="131" spans="2:6" hidden="1" x14ac:dyDescent="0.2">
      <c r="B131" s="229"/>
      <c r="C131" s="157"/>
      <c r="D131" s="157"/>
      <c r="E131" s="157"/>
      <c r="F131" s="157"/>
    </row>
    <row r="132" spans="2:6" hidden="1" x14ac:dyDescent="0.2">
      <c r="B132" s="229"/>
      <c r="C132" s="157"/>
      <c r="D132" s="157"/>
      <c r="E132" s="157"/>
      <c r="F132" s="157"/>
    </row>
    <row r="133" spans="2:6" hidden="1" x14ac:dyDescent="0.2">
      <c r="B133" s="229"/>
      <c r="C133" s="300"/>
      <c r="D133" s="157"/>
      <c r="E133" s="157"/>
      <c r="F133" s="157"/>
    </row>
    <row r="134" spans="2:6" hidden="1" x14ac:dyDescent="0.2">
      <c r="B134" s="229"/>
      <c r="C134" s="300"/>
      <c r="D134" s="157"/>
      <c r="E134" s="157"/>
      <c r="F134" s="157"/>
    </row>
    <row r="135" spans="2:6" hidden="1" x14ac:dyDescent="0.2">
      <c r="B135" s="229"/>
      <c r="C135" s="300"/>
      <c r="D135" s="157"/>
      <c r="E135" s="157"/>
      <c r="F135" s="157"/>
    </row>
    <row r="136" spans="2:6" hidden="1" x14ac:dyDescent="0.2">
      <c r="B136" s="229"/>
      <c r="C136" s="300"/>
      <c r="D136" s="157"/>
      <c r="E136" s="157"/>
      <c r="F136" s="157"/>
    </row>
    <row r="137" spans="2:6" hidden="1" x14ac:dyDescent="0.2">
      <c r="B137" s="229"/>
      <c r="C137" s="300"/>
      <c r="D137" s="157"/>
      <c r="E137" s="157"/>
      <c r="F137" s="157"/>
    </row>
    <row r="138" spans="2:6" hidden="1" x14ac:dyDescent="0.2">
      <c r="B138" s="229"/>
      <c r="C138" s="300"/>
      <c r="D138" s="157"/>
      <c r="E138" s="157"/>
      <c r="F138" s="157"/>
    </row>
    <row r="139" spans="2:6" hidden="1" x14ac:dyDescent="0.2">
      <c r="B139" s="229"/>
      <c r="C139" s="300"/>
      <c r="D139" s="157"/>
      <c r="E139" s="157"/>
      <c r="F139" s="157"/>
    </row>
    <row r="140" spans="2:6" hidden="1" x14ac:dyDescent="0.2">
      <c r="B140" s="229"/>
      <c r="C140" s="300"/>
      <c r="D140" s="157"/>
      <c r="E140" s="157"/>
      <c r="F140" s="157"/>
    </row>
    <row r="141" spans="2:6" hidden="1" x14ac:dyDescent="0.2">
      <c r="B141" s="229"/>
      <c r="C141" s="300"/>
      <c r="D141" s="157"/>
      <c r="E141" s="157"/>
      <c r="F141" s="157"/>
    </row>
    <row r="142" spans="2:6" hidden="1" x14ac:dyDescent="0.2">
      <c r="B142" s="229"/>
      <c r="C142" s="300"/>
      <c r="D142" s="157"/>
      <c r="E142" s="157"/>
      <c r="F142" s="157"/>
    </row>
    <row r="143" spans="2:6" hidden="1" x14ac:dyDescent="0.2">
      <c r="B143" s="229"/>
      <c r="C143" s="300"/>
      <c r="D143" s="157"/>
      <c r="E143" s="157"/>
      <c r="F143" s="157"/>
    </row>
    <row r="144" spans="2:6" x14ac:dyDescent="0.2">
      <c r="B144" s="229"/>
      <c r="C144" s="300"/>
      <c r="D144" s="157"/>
      <c r="E144" s="157"/>
      <c r="F144" s="157"/>
    </row>
    <row r="145" spans="2:6" ht="16.5" customHeight="1" x14ac:dyDescent="0.25">
      <c r="B145" s="261" t="s">
        <v>275</v>
      </c>
      <c r="C145" s="300"/>
      <c r="D145" s="157"/>
      <c r="E145" s="157"/>
      <c r="F145" s="157"/>
    </row>
    <row r="146" spans="2:6" ht="16.5" hidden="1" customHeight="1" x14ac:dyDescent="0.25">
      <c r="B146" s="440" t="s">
        <v>598</v>
      </c>
      <c r="C146" s="442"/>
      <c r="D146" s="157"/>
      <c r="E146" s="157"/>
      <c r="F146" s="157"/>
    </row>
    <row r="147" spans="2:6" ht="16.5" customHeight="1" x14ac:dyDescent="0.25">
      <c r="B147" s="440" t="s">
        <v>671</v>
      </c>
      <c r="C147" s="442">
        <v>6420.13</v>
      </c>
      <c r="D147" s="157"/>
      <c r="E147" s="157"/>
      <c r="F147" s="157"/>
    </row>
    <row r="148" spans="2:6" ht="16.5" hidden="1" customHeight="1" x14ac:dyDescent="0.25">
      <c r="B148" s="440" t="s">
        <v>655</v>
      </c>
      <c r="C148" s="442"/>
      <c r="D148" s="157"/>
      <c r="E148" s="157"/>
      <c r="F148" s="157"/>
    </row>
    <row r="149" spans="2:6" ht="16.5" hidden="1" customHeight="1" x14ac:dyDescent="0.25">
      <c r="B149" s="440" t="s">
        <v>650</v>
      </c>
      <c r="C149" s="442"/>
      <c r="D149" s="157"/>
      <c r="E149" s="157"/>
      <c r="F149" s="157"/>
    </row>
    <row r="150" spans="2:6" ht="16.5" hidden="1" customHeight="1" x14ac:dyDescent="0.25">
      <c r="B150" s="440" t="s">
        <v>656</v>
      </c>
      <c r="C150" s="157"/>
      <c r="D150" s="157"/>
      <c r="E150" s="157"/>
      <c r="F150" s="157"/>
    </row>
    <row r="151" spans="2:6" ht="16.5" hidden="1" customHeight="1" x14ac:dyDescent="0.25">
      <c r="B151" s="440" t="s">
        <v>651</v>
      </c>
      <c r="C151" s="157"/>
      <c r="D151" s="157"/>
      <c r="E151" s="157"/>
      <c r="F151" s="157"/>
    </row>
    <row r="152" spans="2:6" ht="16.5" hidden="1" customHeight="1" x14ac:dyDescent="0.25">
      <c r="B152" s="440" t="s">
        <v>456</v>
      </c>
      <c r="C152" s="157"/>
      <c r="D152" s="157"/>
      <c r="E152" s="157"/>
      <c r="F152" s="157"/>
    </row>
    <row r="153" spans="2:6" ht="18.75" hidden="1" customHeight="1" x14ac:dyDescent="0.25">
      <c r="B153" s="440" t="s">
        <v>652</v>
      </c>
      <c r="C153" s="157"/>
      <c r="D153" s="157"/>
      <c r="E153" s="157"/>
      <c r="F153" s="157"/>
    </row>
    <row r="154" spans="2:6" ht="17.25" customHeight="1" thickBot="1" x14ac:dyDescent="0.3">
      <c r="B154" s="440" t="s">
        <v>462</v>
      </c>
      <c r="C154" s="494">
        <f>SUM(C146:C153)</f>
        <v>6420.13</v>
      </c>
      <c r="D154" s="157"/>
      <c r="E154" s="157"/>
      <c r="F154" s="157"/>
    </row>
    <row r="155" spans="2:6" ht="12" customHeight="1" thickTop="1" x14ac:dyDescent="0.2">
      <c r="C155" s="157"/>
      <c r="D155" s="157"/>
      <c r="E155" s="157"/>
      <c r="F155" s="157"/>
    </row>
    <row r="156" spans="2:6" ht="12" customHeight="1" x14ac:dyDescent="0.2">
      <c r="C156" s="157"/>
      <c r="D156" s="157"/>
      <c r="E156" s="157"/>
      <c r="F156" s="157"/>
    </row>
    <row r="157" spans="2:6" ht="12" customHeight="1" x14ac:dyDescent="0.2">
      <c r="C157" s="157"/>
      <c r="D157" s="157"/>
      <c r="E157" s="157"/>
      <c r="F157" s="157"/>
    </row>
    <row r="158" spans="2:6" ht="12" customHeight="1" x14ac:dyDescent="0.2">
      <c r="C158" s="157"/>
      <c r="D158" s="157"/>
      <c r="E158" s="157"/>
      <c r="F158" s="157"/>
    </row>
    <row r="159" spans="2:6" ht="12" customHeight="1" x14ac:dyDescent="0.2">
      <c r="C159" s="157"/>
      <c r="D159" s="157"/>
      <c r="E159" s="157"/>
      <c r="F159" s="157"/>
    </row>
    <row r="160" spans="2:6" ht="12" customHeight="1" x14ac:dyDescent="0.2">
      <c r="C160" s="157"/>
      <c r="D160" s="157"/>
      <c r="E160" s="157"/>
      <c r="F160" s="157"/>
    </row>
    <row r="161" spans="3:6" ht="12" customHeight="1" x14ac:dyDescent="0.2">
      <c r="C161" s="157"/>
      <c r="D161" s="157"/>
      <c r="E161" s="157"/>
      <c r="F161" s="157"/>
    </row>
    <row r="162" spans="3:6" ht="12" customHeight="1" x14ac:dyDescent="0.2">
      <c r="C162" s="157"/>
      <c r="D162" s="157"/>
      <c r="E162" s="157"/>
      <c r="F162" s="157"/>
    </row>
    <row r="163" spans="3:6" ht="12" customHeight="1" x14ac:dyDescent="0.2">
      <c r="C163" s="157"/>
      <c r="D163" s="157"/>
      <c r="E163" s="157"/>
      <c r="F163" s="157"/>
    </row>
    <row r="164" spans="3:6" ht="12" customHeight="1" x14ac:dyDescent="0.2">
      <c r="C164" s="157"/>
      <c r="D164" s="157"/>
      <c r="E164" s="157"/>
      <c r="F164" s="157"/>
    </row>
    <row r="165" spans="3:6" ht="12" customHeight="1" x14ac:dyDescent="0.2">
      <c r="C165" s="157"/>
      <c r="D165" s="157"/>
      <c r="E165" s="157"/>
      <c r="F165" s="157"/>
    </row>
    <row r="166" spans="3:6" ht="12" customHeight="1" x14ac:dyDescent="0.2">
      <c r="C166" s="157"/>
      <c r="D166" s="157"/>
      <c r="E166" s="157"/>
      <c r="F166" s="157"/>
    </row>
    <row r="167" spans="3:6" ht="12" customHeight="1" x14ac:dyDescent="0.2">
      <c r="C167" s="157"/>
      <c r="D167" s="157"/>
      <c r="E167" s="157"/>
      <c r="F167" s="157"/>
    </row>
    <row r="168" spans="3:6" ht="12" customHeight="1" x14ac:dyDescent="0.2">
      <c r="C168" s="157"/>
      <c r="D168" s="157"/>
      <c r="E168" s="157"/>
      <c r="F168" s="157"/>
    </row>
    <row r="169" spans="3:6" ht="12" customHeight="1" x14ac:dyDescent="0.2">
      <c r="C169" s="157"/>
      <c r="D169" s="157"/>
      <c r="E169" s="157"/>
      <c r="F169" s="157"/>
    </row>
    <row r="170" spans="3:6" ht="12" customHeight="1" x14ac:dyDescent="0.2">
      <c r="C170" s="157"/>
      <c r="D170" s="157"/>
      <c r="E170" s="157"/>
      <c r="F170" s="157"/>
    </row>
    <row r="171" spans="3:6" ht="12" customHeight="1" x14ac:dyDescent="0.2">
      <c r="C171" s="157"/>
      <c r="D171" s="157"/>
      <c r="E171" s="157"/>
      <c r="F171" s="157"/>
    </row>
    <row r="172" spans="3:6" ht="12" customHeight="1" x14ac:dyDescent="0.2">
      <c r="C172" s="157"/>
      <c r="D172" s="157"/>
      <c r="E172" s="157"/>
      <c r="F172" s="157"/>
    </row>
    <row r="173" spans="3:6" ht="12" customHeight="1" x14ac:dyDescent="0.2">
      <c r="C173" s="157"/>
      <c r="D173" s="157"/>
      <c r="E173" s="157"/>
      <c r="F173" s="157"/>
    </row>
    <row r="174" spans="3:6" ht="12" customHeight="1" x14ac:dyDescent="0.2">
      <c r="C174" s="157"/>
      <c r="D174" s="157"/>
      <c r="E174" s="157"/>
      <c r="F174" s="157"/>
    </row>
    <row r="175" spans="3:6" ht="12" customHeight="1" x14ac:dyDescent="0.2">
      <c r="C175" s="157"/>
      <c r="D175" s="157"/>
      <c r="E175" s="157"/>
      <c r="F175" s="157"/>
    </row>
    <row r="176" spans="3:6" ht="12" customHeight="1" x14ac:dyDescent="0.2">
      <c r="C176" s="157"/>
      <c r="D176" s="157"/>
      <c r="E176" s="157"/>
      <c r="F176" s="157"/>
    </row>
    <row r="177" spans="3:6" ht="12" customHeight="1" x14ac:dyDescent="0.2">
      <c r="C177" s="157"/>
      <c r="D177" s="157"/>
      <c r="E177" s="157"/>
      <c r="F177" s="157"/>
    </row>
    <row r="178" spans="3:6" ht="12" customHeight="1" x14ac:dyDescent="0.2">
      <c r="C178" s="157"/>
      <c r="D178" s="157"/>
      <c r="E178" s="157"/>
      <c r="F178" s="157"/>
    </row>
    <row r="179" spans="3:6" ht="12" customHeight="1" x14ac:dyDescent="0.2">
      <c r="C179" s="157"/>
      <c r="D179" s="157"/>
      <c r="E179" s="157"/>
      <c r="F179" s="157"/>
    </row>
    <row r="180" spans="3:6" ht="12" customHeight="1" x14ac:dyDescent="0.2">
      <c r="C180" s="157"/>
      <c r="D180" s="157"/>
      <c r="E180" s="157"/>
      <c r="F180" s="157"/>
    </row>
    <row r="181" spans="3:6" ht="12" customHeight="1" x14ac:dyDescent="0.2">
      <c r="C181" s="157"/>
      <c r="D181" s="157"/>
      <c r="E181" s="157"/>
      <c r="F181" s="157"/>
    </row>
    <row r="182" spans="3:6" ht="12" customHeight="1" x14ac:dyDescent="0.2">
      <c r="C182" s="157"/>
      <c r="D182" s="157"/>
      <c r="E182" s="157"/>
      <c r="F182" s="157"/>
    </row>
    <row r="183" spans="3:6" ht="12" customHeight="1" x14ac:dyDescent="0.2">
      <c r="C183" s="157"/>
      <c r="D183" s="157"/>
      <c r="E183" s="157"/>
      <c r="F183" s="157"/>
    </row>
    <row r="184" spans="3:6" ht="12" customHeight="1" x14ac:dyDescent="0.2">
      <c r="C184" s="157"/>
      <c r="D184" s="157"/>
      <c r="E184" s="157"/>
      <c r="F184" s="157"/>
    </row>
    <row r="185" spans="3:6" ht="12" customHeight="1" x14ac:dyDescent="0.2">
      <c r="C185" s="157"/>
      <c r="D185" s="157"/>
      <c r="E185" s="157"/>
      <c r="F185" s="157"/>
    </row>
    <row r="186" spans="3:6" ht="12" customHeight="1" x14ac:dyDescent="0.2">
      <c r="C186" s="157"/>
      <c r="D186" s="157"/>
      <c r="E186" s="157"/>
      <c r="F186" s="157"/>
    </row>
    <row r="187" spans="3:6" ht="12" customHeight="1" x14ac:dyDescent="0.2">
      <c r="C187" s="157"/>
      <c r="D187" s="157"/>
      <c r="E187" s="157"/>
      <c r="F187" s="157"/>
    </row>
    <row r="188" spans="3:6" ht="12" customHeight="1" x14ac:dyDescent="0.2">
      <c r="C188" s="157"/>
      <c r="D188" s="157"/>
      <c r="E188" s="157"/>
      <c r="F188" s="157"/>
    </row>
    <row r="189" spans="3:6" ht="12" customHeight="1" x14ac:dyDescent="0.2">
      <c r="C189" s="157"/>
      <c r="D189" s="157"/>
      <c r="E189" s="157"/>
      <c r="F189" s="157"/>
    </row>
    <row r="190" spans="3:6" ht="12" customHeight="1" x14ac:dyDescent="0.2">
      <c r="C190" s="157"/>
      <c r="D190" s="157"/>
      <c r="E190" s="157"/>
      <c r="F190" s="157"/>
    </row>
    <row r="191" spans="3:6" ht="12" customHeight="1" x14ac:dyDescent="0.2">
      <c r="C191" s="157"/>
      <c r="D191" s="157"/>
      <c r="E191" s="157"/>
      <c r="F191" s="157"/>
    </row>
    <row r="192" spans="3:6" ht="12" customHeight="1" x14ac:dyDescent="0.2">
      <c r="C192" s="157"/>
      <c r="D192" s="157"/>
      <c r="E192" s="157"/>
      <c r="F192" s="157"/>
    </row>
    <row r="193" spans="3:6" ht="12" customHeight="1" x14ac:dyDescent="0.2">
      <c r="C193" s="157"/>
      <c r="D193" s="157"/>
      <c r="E193" s="157"/>
      <c r="F193" s="157"/>
    </row>
    <row r="194" spans="3:6" ht="12" customHeight="1" x14ac:dyDescent="0.2">
      <c r="C194" s="157"/>
      <c r="D194" s="157"/>
      <c r="E194" s="157"/>
      <c r="F194" s="157"/>
    </row>
    <row r="195" spans="3:6" ht="12" customHeight="1" x14ac:dyDescent="0.2">
      <c r="C195" s="157"/>
      <c r="D195" s="157"/>
      <c r="E195" s="157"/>
      <c r="F195" s="157"/>
    </row>
    <row r="196" spans="3:6" ht="12" customHeight="1" x14ac:dyDescent="0.2">
      <c r="C196" s="157"/>
      <c r="D196" s="157"/>
      <c r="E196" s="157"/>
      <c r="F196" s="157"/>
    </row>
    <row r="197" spans="3:6" ht="12" customHeight="1" x14ac:dyDescent="0.2">
      <c r="C197" s="157"/>
      <c r="D197" s="157"/>
      <c r="E197" s="157"/>
      <c r="F197" s="157"/>
    </row>
    <row r="198" spans="3:6" ht="12" customHeight="1" x14ac:dyDescent="0.2">
      <c r="C198" s="157"/>
      <c r="D198" s="157"/>
      <c r="E198" s="157"/>
      <c r="F198" s="157"/>
    </row>
    <row r="199" spans="3:6" ht="12" customHeight="1" x14ac:dyDescent="0.2">
      <c r="C199" s="157"/>
      <c r="D199" s="157"/>
      <c r="E199" s="157"/>
      <c r="F199" s="157"/>
    </row>
    <row r="200" spans="3:6" ht="12" customHeight="1" x14ac:dyDescent="0.2">
      <c r="C200" s="157"/>
      <c r="D200" s="157"/>
      <c r="E200" s="157"/>
      <c r="F200" s="157"/>
    </row>
    <row r="201" spans="3:6" ht="12" customHeight="1" x14ac:dyDescent="0.2">
      <c r="C201" s="157"/>
      <c r="D201" s="157"/>
      <c r="E201" s="157"/>
      <c r="F201" s="157"/>
    </row>
    <row r="202" spans="3:6" ht="12" customHeight="1" x14ac:dyDescent="0.2">
      <c r="C202" s="157"/>
      <c r="D202" s="157"/>
      <c r="E202" s="157"/>
      <c r="F202" s="157"/>
    </row>
    <row r="203" spans="3:6" ht="12" customHeight="1" x14ac:dyDescent="0.2">
      <c r="C203" s="157"/>
      <c r="D203" s="157"/>
      <c r="E203" s="157"/>
      <c r="F203" s="157"/>
    </row>
    <row r="204" spans="3:6" ht="12" customHeight="1" x14ac:dyDescent="0.2">
      <c r="C204" s="157"/>
      <c r="D204" s="157"/>
      <c r="E204" s="157"/>
      <c r="F204" s="157"/>
    </row>
    <row r="205" spans="3:6" ht="12" customHeight="1" x14ac:dyDescent="0.2">
      <c r="C205" s="157"/>
      <c r="D205" s="157"/>
      <c r="E205" s="157"/>
      <c r="F205" s="157"/>
    </row>
    <row r="206" spans="3:6" ht="12" customHeight="1" x14ac:dyDescent="0.2">
      <c r="C206" s="157"/>
      <c r="D206" s="157"/>
      <c r="E206" s="157"/>
      <c r="F206" s="157"/>
    </row>
    <row r="207" spans="3:6" ht="12" customHeight="1" x14ac:dyDescent="0.2">
      <c r="C207" s="157"/>
      <c r="D207" s="157"/>
      <c r="E207" s="157"/>
      <c r="F207" s="157"/>
    </row>
    <row r="208" spans="3:6" ht="12" customHeight="1" x14ac:dyDescent="0.2">
      <c r="C208" s="157"/>
      <c r="D208" s="157"/>
      <c r="E208" s="157"/>
      <c r="F208" s="157"/>
    </row>
    <row r="209" spans="2:6" ht="12" customHeight="1" x14ac:dyDescent="0.2">
      <c r="C209" s="157"/>
      <c r="D209" s="157"/>
      <c r="E209" s="157"/>
      <c r="F209" s="157"/>
    </row>
    <row r="210" spans="2:6" ht="12" customHeight="1" x14ac:dyDescent="0.2">
      <c r="C210" s="157"/>
      <c r="D210" s="157"/>
      <c r="E210" s="157"/>
      <c r="F210" s="157"/>
    </row>
    <row r="211" spans="2:6" ht="12" customHeight="1" x14ac:dyDescent="0.2">
      <c r="C211" s="157"/>
      <c r="D211" s="157"/>
      <c r="E211" s="157"/>
      <c r="F211" s="157"/>
    </row>
    <row r="212" spans="2:6" ht="12" customHeight="1" x14ac:dyDescent="0.2">
      <c r="C212" s="157"/>
      <c r="D212" s="157"/>
      <c r="E212" s="157"/>
      <c r="F212" s="157"/>
    </row>
    <row r="213" spans="2:6" ht="12" customHeight="1" x14ac:dyDescent="0.2">
      <c r="C213" s="157"/>
      <c r="D213" s="157"/>
      <c r="E213" s="157"/>
      <c r="F213" s="157"/>
    </row>
    <row r="214" spans="2:6" ht="12" customHeight="1" x14ac:dyDescent="0.2">
      <c r="C214" s="157"/>
      <c r="D214" s="157"/>
      <c r="E214" s="157"/>
      <c r="F214" s="157"/>
    </row>
    <row r="215" spans="2:6" ht="12" customHeight="1" x14ac:dyDescent="0.2">
      <c r="C215" s="157"/>
      <c r="D215" s="157"/>
      <c r="E215" s="157"/>
      <c r="F215" s="157"/>
    </row>
    <row r="216" spans="2:6" ht="12" customHeight="1" x14ac:dyDescent="0.2">
      <c r="C216" s="157"/>
      <c r="D216" s="157"/>
      <c r="E216" s="157"/>
      <c r="F216" s="157"/>
    </row>
    <row r="217" spans="2:6" ht="14.25" customHeight="1" x14ac:dyDescent="0.2"/>
    <row r="218" spans="2:6" ht="15.75" hidden="1" x14ac:dyDescent="0.25">
      <c r="B218" s="261"/>
      <c r="C218" s="189"/>
    </row>
    <row r="219" spans="2:6" ht="15" hidden="1" x14ac:dyDescent="0.25">
      <c r="B219" s="262"/>
      <c r="C219" s="296"/>
    </row>
    <row r="220" spans="2:6" ht="15" hidden="1" x14ac:dyDescent="0.25">
      <c r="B220" s="262"/>
      <c r="C220" s="300"/>
    </row>
    <row r="221" spans="2:6" ht="15" hidden="1" x14ac:dyDescent="0.25">
      <c r="B221" s="262"/>
      <c r="C221" s="157"/>
    </row>
    <row r="222" spans="2:6" hidden="1" x14ac:dyDescent="0.2">
      <c r="B222" s="229"/>
    </row>
    <row r="223" spans="2:6" hidden="1" x14ac:dyDescent="0.2">
      <c r="B223" s="229"/>
    </row>
    <row r="224" spans="2:6" hidden="1" x14ac:dyDescent="0.2">
      <c r="B224" s="229"/>
    </row>
    <row r="225" spans="2:14" hidden="1" x14ac:dyDescent="0.2"/>
    <row r="226" spans="2:14" hidden="1" x14ac:dyDescent="0.2"/>
    <row r="227" spans="2:14" hidden="1" x14ac:dyDescent="0.2">
      <c r="C227" s="259">
        <v>41698</v>
      </c>
      <c r="D227" s="259">
        <v>41609</v>
      </c>
      <c r="E227" s="259">
        <v>41548</v>
      </c>
      <c r="F227" s="259">
        <v>41487</v>
      </c>
      <c r="G227" s="504">
        <v>41426</v>
      </c>
      <c r="H227" s="259">
        <v>41365</v>
      </c>
      <c r="I227" s="581">
        <v>41306</v>
      </c>
      <c r="J227" s="259">
        <v>41274</v>
      </c>
      <c r="K227" s="259">
        <v>41213</v>
      </c>
      <c r="L227" s="259">
        <v>41152</v>
      </c>
      <c r="M227" s="260">
        <v>41090</v>
      </c>
      <c r="N227" s="259">
        <v>41029</v>
      </c>
    </row>
    <row r="228" spans="2:14" hidden="1" x14ac:dyDescent="0.2">
      <c r="B228" s="45" t="s">
        <v>130</v>
      </c>
      <c r="C228" s="189">
        <f>C73</f>
        <v>112674.45</v>
      </c>
      <c r="D228" s="189">
        <f>105452.64+311868.06-305987</f>
        <v>111333.70000000001</v>
      </c>
      <c r="E228" s="189">
        <v>85798.300000000017</v>
      </c>
      <c r="F228" s="157">
        <f>53253.08+18642.89</f>
        <v>71895.97</v>
      </c>
      <c r="G228" s="504">
        <v>126315</v>
      </c>
      <c r="H228" s="157">
        <v>69404</v>
      </c>
      <c r="I228" s="581">
        <v>75744</v>
      </c>
      <c r="J228" s="157">
        <v>119840.47</v>
      </c>
      <c r="K228" s="157">
        <v>120024</v>
      </c>
      <c r="L228" s="157">
        <v>109142</v>
      </c>
      <c r="M228" s="258">
        <v>142216.66</v>
      </c>
      <c r="N228" s="157">
        <v>104785.62</v>
      </c>
    </row>
    <row r="229" spans="2:14" hidden="1" x14ac:dyDescent="0.2">
      <c r="B229" s="45" t="s">
        <v>131</v>
      </c>
      <c r="C229" s="189">
        <f>D73</f>
        <v>106176.63999999998</v>
      </c>
      <c r="D229" s="189">
        <f>74767.18-13600.56</f>
        <v>61166.619999999995</v>
      </c>
      <c r="E229" s="189">
        <v>86248.31</v>
      </c>
      <c r="F229" s="157">
        <v>43187.16</v>
      </c>
      <c r="G229" s="504">
        <v>60049</v>
      </c>
      <c r="H229" s="157">
        <v>101941</v>
      </c>
      <c r="I229" s="581">
        <v>43152</v>
      </c>
      <c r="J229" s="157">
        <v>58938.2</v>
      </c>
      <c r="K229" s="157">
        <v>85767</v>
      </c>
      <c r="L229" s="157">
        <v>119436</v>
      </c>
      <c r="M229" s="258">
        <v>73223.850000000006</v>
      </c>
      <c r="N229" s="157">
        <v>86907.23</v>
      </c>
    </row>
    <row r="230" spans="2:14" hidden="1" x14ac:dyDescent="0.2">
      <c r="B230" s="45" t="s">
        <v>132</v>
      </c>
      <c r="C230" s="189">
        <f>E73</f>
        <v>22523.31</v>
      </c>
      <c r="D230" s="189">
        <f>66720.93-13675.33</f>
        <v>53045.599999999991</v>
      </c>
      <c r="E230" s="189">
        <v>32950.589999999997</v>
      </c>
      <c r="F230" s="157">
        <v>65970.55</v>
      </c>
      <c r="G230" s="504">
        <v>18719</v>
      </c>
      <c r="H230" s="157">
        <v>3668</v>
      </c>
      <c r="I230" s="581">
        <v>50430</v>
      </c>
      <c r="J230" s="157">
        <v>88408.17</v>
      </c>
      <c r="K230" s="157">
        <v>26680</v>
      </c>
      <c r="L230" s="157">
        <v>51922</v>
      </c>
      <c r="M230" s="258">
        <v>77261.37</v>
      </c>
      <c r="N230" s="157">
        <v>11021.67</v>
      </c>
    </row>
    <row r="231" spans="2:14" hidden="1" x14ac:dyDescent="0.2">
      <c r="B231" s="45" t="s">
        <v>133</v>
      </c>
      <c r="C231" s="189">
        <f>F73</f>
        <v>77625</v>
      </c>
      <c r="D231" s="189">
        <v>86322.43</v>
      </c>
      <c r="E231" s="189">
        <v>66109.450000000012</v>
      </c>
      <c r="F231" s="157">
        <v>56011.13</v>
      </c>
      <c r="G231" s="504">
        <v>1250</v>
      </c>
      <c r="H231" s="157">
        <v>0</v>
      </c>
      <c r="I231" s="581">
        <v>9959</v>
      </c>
      <c r="J231" s="157">
        <v>18374.45</v>
      </c>
      <c r="K231" s="157">
        <v>22103</v>
      </c>
      <c r="L231" s="157">
        <v>71168</v>
      </c>
      <c r="M231" s="258">
        <v>55167.87</v>
      </c>
      <c r="N231" s="157"/>
    </row>
    <row r="232" spans="2:14" hidden="1" x14ac:dyDescent="0.2">
      <c r="C232" s="189">
        <f>SUM(C228:C231)</f>
        <v>318999.39999999997</v>
      </c>
      <c r="D232" s="189">
        <f>SUM(D228:D231)</f>
        <v>311868.34999999998</v>
      </c>
      <c r="E232" s="189">
        <v>271106.65000000002</v>
      </c>
      <c r="F232" s="157">
        <f>SUM(F228:F231)</f>
        <v>237064.81</v>
      </c>
      <c r="G232" s="504">
        <f t="shared" ref="G232:N232" si="5">SUM(G228:G231)</f>
        <v>206333</v>
      </c>
      <c r="H232" s="157">
        <f t="shared" si="5"/>
        <v>175013</v>
      </c>
      <c r="I232" s="581">
        <f t="shared" si="5"/>
        <v>179285</v>
      </c>
      <c r="J232" s="157">
        <f t="shared" si="5"/>
        <v>285561.28999999998</v>
      </c>
      <c r="K232" s="157">
        <f t="shared" si="5"/>
        <v>254574</v>
      </c>
      <c r="L232" s="157">
        <f t="shared" si="5"/>
        <v>351668</v>
      </c>
      <c r="M232" s="157">
        <f t="shared" si="5"/>
        <v>347869.75</v>
      </c>
      <c r="N232" s="157">
        <f t="shared" si="5"/>
        <v>202714.52</v>
      </c>
    </row>
    <row r="233" spans="2:14" hidden="1" x14ac:dyDescent="0.2">
      <c r="D233" s="157"/>
      <c r="E233" s="157"/>
      <c r="F233" s="157"/>
      <c r="H233" s="157"/>
      <c r="I233" s="581"/>
      <c r="J233" s="157"/>
      <c r="K233" s="157"/>
      <c r="L233" s="258"/>
    </row>
    <row r="234" spans="2:14" hidden="1" x14ac:dyDescent="0.2">
      <c r="C234" s="157"/>
      <c r="D234" s="157"/>
      <c r="E234" s="157"/>
      <c r="F234" s="157"/>
      <c r="H234" s="258"/>
      <c r="J234" s="258"/>
      <c r="K234" s="258"/>
    </row>
    <row r="235" spans="2:14" hidden="1" x14ac:dyDescent="0.2">
      <c r="C235" s="157"/>
      <c r="D235" s="157"/>
      <c r="E235" s="157"/>
      <c r="F235" s="157"/>
      <c r="H235" s="258"/>
      <c r="J235" s="258"/>
      <c r="K235" s="258"/>
    </row>
    <row r="236" spans="2:14" hidden="1" x14ac:dyDescent="0.2"/>
    <row r="237" spans="2:14" hidden="1" x14ac:dyDescent="0.2"/>
    <row r="238" spans="2:14" hidden="1" x14ac:dyDescent="0.2"/>
    <row r="239" spans="2:14" hidden="1" x14ac:dyDescent="0.2"/>
    <row r="240" spans="2:14"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sheetData>
  <sortState xmlns:xlrd2="http://schemas.microsoft.com/office/spreadsheetml/2017/richdata2" ref="A82:J85">
    <sortCondition ref="A82:A85"/>
  </sortState>
  <mergeCells count="2">
    <mergeCell ref="A5:B5"/>
    <mergeCell ref="A56:B56"/>
  </mergeCells>
  <pageMargins left="0.45" right="0.25" top="0.25" bottom="0" header="0.3" footer="0.3"/>
  <pageSetup scale="6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I77"/>
  <sheetViews>
    <sheetView topLeftCell="A37" zoomScale="70" zoomScaleNormal="70" workbookViewId="0">
      <selection activeCell="P21" sqref="P21"/>
    </sheetView>
  </sheetViews>
  <sheetFormatPr defaultRowHeight="14.25" x14ac:dyDescent="0.2"/>
  <cols>
    <col min="1" max="1" width="2.875" style="45" customWidth="1"/>
    <col min="2" max="3" width="4.375" style="45" customWidth="1"/>
    <col min="4" max="4" width="11" style="45" customWidth="1"/>
    <col min="5" max="5" width="2.875" style="45" customWidth="1"/>
    <col min="6" max="6" width="34.625" style="45" customWidth="1"/>
    <col min="7" max="7" width="1.5" customWidth="1"/>
    <col min="8" max="8" width="23.875" customWidth="1"/>
    <col min="9" max="9" width="1.25" customWidth="1"/>
    <col min="10" max="10" width="25.25" customWidth="1"/>
    <col min="11" max="11" width="1.25" customWidth="1"/>
    <col min="12" max="12" width="24" customWidth="1"/>
    <col min="16" max="16" width="22.875" bestFit="1" customWidth="1"/>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61" ht="22.5" customHeight="1" x14ac:dyDescent="0.4">
      <c r="A1" s="46" t="s">
        <v>93</v>
      </c>
      <c r="B1" s="47"/>
      <c r="C1" s="48"/>
      <c r="D1" s="48"/>
      <c r="E1" s="48"/>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row>
    <row r="2" spans="1:61" ht="22.5" customHeight="1" x14ac:dyDescent="0.4">
      <c r="A2" s="46" t="s">
        <v>167</v>
      </c>
      <c r="B2" s="47"/>
      <c r="C2" s="48"/>
      <c r="D2" s="48"/>
      <c r="E2" s="48"/>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row>
    <row r="3" spans="1:61" ht="11.25" hidden="1" customHeight="1" x14ac:dyDescent="0.4">
      <c r="A3" s="46"/>
      <c r="B3" s="47"/>
      <c r="C3" s="48"/>
      <c r="D3" s="48"/>
      <c r="E3" s="48"/>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row>
    <row r="4" spans="1:61" ht="35.1" hidden="1" customHeight="1" x14ac:dyDescent="0.4">
      <c r="A4" s="46" t="s">
        <v>47</v>
      </c>
      <c r="B4" s="47"/>
      <c r="C4" s="48"/>
      <c r="D4" s="48"/>
      <c r="E4" s="48"/>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row>
    <row r="5" spans="1:61" s="50" customFormat="1" ht="8.25" customHeight="1" thickBot="1" x14ac:dyDescent="0.25">
      <c r="A5" s="49"/>
      <c r="B5" s="49"/>
      <c r="C5" s="49"/>
      <c r="D5" s="49"/>
      <c r="E5" s="49"/>
      <c r="F5" s="49"/>
    </row>
    <row r="6" spans="1:61" s="53" customFormat="1" ht="27.75" thickTop="1" thickBot="1" x14ac:dyDescent="0.25">
      <c r="A6" s="51" t="s">
        <v>48</v>
      </c>
      <c r="B6" s="51"/>
      <c r="C6" s="51"/>
      <c r="D6" s="51"/>
      <c r="E6" s="51"/>
      <c r="F6" s="51"/>
      <c r="G6" s="199"/>
      <c r="H6" s="787" t="s">
        <v>49</v>
      </c>
      <c r="I6" s="787"/>
      <c r="J6" s="787"/>
      <c r="K6" s="199"/>
      <c r="L6" s="199"/>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row>
    <row r="7" spans="1:61" s="55" customFormat="1" ht="8.25" customHeight="1" thickTop="1" x14ac:dyDescent="0.2">
      <c r="A7" s="54"/>
      <c r="B7" s="54"/>
      <c r="C7" s="54"/>
      <c r="D7" s="54"/>
      <c r="E7" s="54"/>
      <c r="F7" s="54"/>
    </row>
    <row r="8" spans="1:61" ht="21" thickBot="1" x14ac:dyDescent="0.35">
      <c r="A8" s="56"/>
      <c r="B8" s="120" t="s">
        <v>50</v>
      </c>
      <c r="C8" s="120"/>
      <c r="D8" s="120"/>
      <c r="E8" s="120"/>
      <c r="F8" s="120"/>
      <c r="G8" s="271"/>
      <c r="H8" s="231">
        <v>45412</v>
      </c>
      <c r="I8" s="231"/>
      <c r="J8" s="231">
        <v>45291</v>
      </c>
      <c r="L8" s="231">
        <f>H8-366</f>
        <v>45046</v>
      </c>
    </row>
    <row r="9" spans="1:61" s="55" customFormat="1" ht="6.75" customHeight="1" x14ac:dyDescent="0.2">
      <c r="A9" s="54"/>
      <c r="B9" s="54"/>
      <c r="C9" s="54"/>
      <c r="D9" s="54"/>
      <c r="E9" s="54"/>
      <c r="F9" s="54"/>
    </row>
    <row r="10" spans="1:61" s="55" customFormat="1" ht="20.25" x14ac:dyDescent="0.2">
      <c r="A10" s="54"/>
      <c r="B10" s="54"/>
      <c r="C10" s="54" t="s">
        <v>51</v>
      </c>
      <c r="D10" s="54"/>
      <c r="E10" s="54"/>
      <c r="F10" s="54"/>
    </row>
    <row r="11" spans="1:61" s="55" customFormat="1" ht="20.25" hidden="1" x14ac:dyDescent="0.2">
      <c r="A11" s="58"/>
      <c r="B11" s="58"/>
      <c r="C11" s="58"/>
      <c r="D11" s="58" t="s">
        <v>75</v>
      </c>
      <c r="E11" s="58"/>
      <c r="F11" s="58"/>
      <c r="G11" s="217"/>
      <c r="H11" s="217" t="s">
        <v>98</v>
      </c>
      <c r="I11" s="217"/>
      <c r="J11" s="217" t="s">
        <v>98</v>
      </c>
      <c r="L11" s="217" t="s">
        <v>98</v>
      </c>
    </row>
    <row r="12" spans="1:61" s="55" customFormat="1" ht="20.25" hidden="1" x14ac:dyDescent="0.2">
      <c r="A12" s="58"/>
      <c r="B12" s="58"/>
      <c r="C12" s="58"/>
      <c r="D12" s="58" t="s">
        <v>76</v>
      </c>
      <c r="E12" s="58"/>
      <c r="F12" s="58"/>
      <c r="G12" s="217"/>
      <c r="H12" s="217" t="s">
        <v>98</v>
      </c>
      <c r="I12" s="217"/>
      <c r="J12" s="217" t="s">
        <v>98</v>
      </c>
      <c r="L12" s="217" t="s">
        <v>98</v>
      </c>
    </row>
    <row r="13" spans="1:61" s="55" customFormat="1" ht="20.25" x14ac:dyDescent="0.2">
      <c r="A13" s="58"/>
      <c r="B13" s="58"/>
      <c r="C13" s="58"/>
      <c r="D13" s="58" t="s">
        <v>176</v>
      </c>
      <c r="E13" s="58"/>
      <c r="F13" s="58"/>
      <c r="G13" s="202"/>
      <c r="H13" s="202">
        <v>556977.62</v>
      </c>
      <c r="I13" s="202"/>
      <c r="J13" s="202">
        <v>661674.81999999995</v>
      </c>
      <c r="L13" s="202">
        <v>402533.09</v>
      </c>
    </row>
    <row r="14" spans="1:61" s="55" customFormat="1" ht="20.25" x14ac:dyDescent="0.2">
      <c r="A14" s="58"/>
      <c r="B14" s="58"/>
      <c r="C14" s="58"/>
      <c r="D14" s="58" t="s">
        <v>177</v>
      </c>
      <c r="E14" s="58"/>
      <c r="F14" s="58"/>
      <c r="G14" s="193"/>
      <c r="H14" s="193">
        <v>1178.25</v>
      </c>
      <c r="I14" s="193"/>
      <c r="J14" s="193">
        <v>200.01</v>
      </c>
      <c r="L14" s="193">
        <v>1160.8900000000001</v>
      </c>
    </row>
    <row r="15" spans="1:61" s="55" customFormat="1" ht="20.25" x14ac:dyDescent="0.2">
      <c r="A15" s="58"/>
      <c r="B15" s="58"/>
      <c r="C15" s="59"/>
      <c r="D15" s="59" t="s">
        <v>77</v>
      </c>
      <c r="E15" s="59"/>
      <c r="F15" s="59"/>
      <c r="G15" s="193"/>
      <c r="H15" s="195">
        <v>200</v>
      </c>
      <c r="I15" s="193"/>
      <c r="J15" s="195">
        <v>200</v>
      </c>
      <c r="L15" s="195">
        <v>200</v>
      </c>
    </row>
    <row r="16" spans="1:61" s="55" customFormat="1" ht="20.25" x14ac:dyDescent="0.2">
      <c r="A16" s="54"/>
      <c r="B16" s="54"/>
      <c r="C16" s="54" t="s">
        <v>52</v>
      </c>
      <c r="D16" s="54"/>
      <c r="E16" s="54"/>
      <c r="F16" s="54"/>
      <c r="G16" s="196"/>
      <c r="H16" s="196">
        <f>SUM(H13:H15)</f>
        <v>558355.87</v>
      </c>
      <c r="I16" s="196"/>
      <c r="J16" s="196">
        <f>SUM(J13:J15)</f>
        <v>662074.82999999996</v>
      </c>
      <c r="L16" s="196">
        <f>ROUND(SUM(L10:L15),5)</f>
        <v>403893.98</v>
      </c>
    </row>
    <row r="17" spans="1:16" s="55" customFormat="1" ht="14.25" customHeight="1" x14ac:dyDescent="0.2">
      <c r="A17" s="54"/>
      <c r="B17" s="54"/>
      <c r="C17" s="54"/>
      <c r="D17" s="54"/>
      <c r="E17" s="54"/>
      <c r="F17" s="54"/>
      <c r="G17" s="193"/>
      <c r="H17" s="193"/>
      <c r="I17" s="193"/>
      <c r="J17" s="193"/>
      <c r="L17" s="193"/>
    </row>
    <row r="18" spans="1:16" s="55" customFormat="1" ht="20.25" x14ac:dyDescent="0.2">
      <c r="A18" s="54"/>
      <c r="B18" s="54"/>
      <c r="C18" s="54" t="s">
        <v>54</v>
      </c>
      <c r="D18" s="54"/>
      <c r="E18" s="54"/>
      <c r="F18" s="54"/>
      <c r="G18" s="193"/>
      <c r="H18" s="193"/>
      <c r="I18" s="193"/>
      <c r="J18" s="193"/>
      <c r="L18" s="193"/>
    </row>
    <row r="19" spans="1:16" s="55" customFormat="1" ht="20.25" x14ac:dyDescent="0.2">
      <c r="A19" s="58"/>
      <c r="B19" s="58"/>
      <c r="C19" s="58"/>
      <c r="D19" s="58" t="s">
        <v>147</v>
      </c>
      <c r="E19" s="58"/>
      <c r="F19" s="58"/>
      <c r="G19" s="230"/>
      <c r="H19" s="230">
        <f>'April''24 AR Aging '!G73</f>
        <v>318999.39999999997</v>
      </c>
      <c r="I19" s="230"/>
      <c r="J19" s="230">
        <v>266721.7</v>
      </c>
      <c r="K19" s="204"/>
      <c r="L19" s="230">
        <v>302008.53000000003</v>
      </c>
    </row>
    <row r="20" spans="1:16" s="55" customFormat="1" ht="20.25" x14ac:dyDescent="0.2">
      <c r="A20" s="58"/>
      <c r="B20" s="58"/>
      <c r="C20" s="58"/>
      <c r="D20" s="58" t="s">
        <v>159</v>
      </c>
      <c r="E20" s="58"/>
      <c r="F20" s="58"/>
      <c r="G20" s="230"/>
      <c r="H20" s="193">
        <v>0</v>
      </c>
      <c r="I20" s="193"/>
      <c r="J20" s="193">
        <v>0</v>
      </c>
      <c r="K20" s="204"/>
      <c r="L20" s="193"/>
    </row>
    <row r="21" spans="1:16" s="55" customFormat="1" ht="20.25" x14ac:dyDescent="0.2">
      <c r="A21" s="58"/>
      <c r="B21" s="58"/>
      <c r="C21" s="58"/>
      <c r="D21" s="58" t="s">
        <v>211</v>
      </c>
      <c r="E21" s="58"/>
      <c r="F21" s="58"/>
      <c r="G21" s="193"/>
      <c r="H21" s="193">
        <v>451645.99</v>
      </c>
      <c r="I21" s="193"/>
      <c r="J21" s="193">
        <v>434275.6</v>
      </c>
      <c r="K21" s="204"/>
      <c r="L21" s="193">
        <v>401182.89</v>
      </c>
      <c r="P21" s="204"/>
    </row>
    <row r="22" spans="1:16" s="55" customFormat="1" ht="20.25" x14ac:dyDescent="0.2">
      <c r="A22" s="58"/>
      <c r="B22" s="58"/>
      <c r="C22" s="59"/>
      <c r="D22" s="59" t="s">
        <v>78</v>
      </c>
      <c r="E22" s="59"/>
      <c r="F22" s="59"/>
      <c r="G22" s="193"/>
      <c r="H22" s="195">
        <f>10912.21+299.64</f>
        <v>11211.849999999999</v>
      </c>
      <c r="I22" s="193"/>
      <c r="J22" s="195">
        <v>7581.94</v>
      </c>
      <c r="K22" s="204"/>
      <c r="L22" s="195">
        <v>4854.53</v>
      </c>
    </row>
    <row r="23" spans="1:16" s="55" customFormat="1" ht="20.25" x14ac:dyDescent="0.2">
      <c r="A23" s="54"/>
      <c r="B23" s="54"/>
      <c r="C23" s="54" t="s">
        <v>55</v>
      </c>
      <c r="D23" s="54"/>
      <c r="E23" s="54"/>
      <c r="F23" s="54"/>
      <c r="G23" s="196"/>
      <c r="H23" s="196">
        <f>SUM(H19:H22)</f>
        <v>781857.23999999987</v>
      </c>
      <c r="I23" s="196"/>
      <c r="J23" s="196">
        <f>SUM(J19:J22)</f>
        <v>708579.24</v>
      </c>
      <c r="K23" s="204"/>
      <c r="L23" s="196">
        <f>SUM(L19:L22)</f>
        <v>708045.95000000007</v>
      </c>
    </row>
    <row r="24" spans="1:16" s="55" customFormat="1" ht="20.25" x14ac:dyDescent="0.2">
      <c r="A24" s="54"/>
      <c r="B24" s="54"/>
      <c r="C24" s="54"/>
      <c r="D24" s="54"/>
      <c r="E24" s="54"/>
      <c r="F24" s="54"/>
      <c r="G24" s="193"/>
      <c r="H24" s="193"/>
      <c r="I24" s="193"/>
      <c r="J24" s="193"/>
      <c r="L24" s="193"/>
    </row>
    <row r="25" spans="1:16" s="55" customFormat="1" ht="20.25" x14ac:dyDescent="0.2">
      <c r="A25" s="54"/>
      <c r="B25" s="60" t="s">
        <v>56</v>
      </c>
      <c r="C25" s="60"/>
      <c r="D25" s="60"/>
      <c r="E25" s="60"/>
      <c r="F25" s="60"/>
      <c r="G25" s="196"/>
      <c r="H25" s="582">
        <f>H16+H23</f>
        <v>1340213.1099999999</v>
      </c>
      <c r="I25" s="196"/>
      <c r="J25" s="582">
        <f>J16+J23</f>
        <v>1370654.0699999998</v>
      </c>
      <c r="L25" s="582">
        <f>L16+L23</f>
        <v>1111939.9300000002</v>
      </c>
    </row>
    <row r="26" spans="1:16" s="55" customFormat="1" ht="20.25" x14ac:dyDescent="0.2">
      <c r="A26" s="54"/>
      <c r="B26" s="54"/>
      <c r="C26" s="54"/>
      <c r="D26" s="54"/>
      <c r="E26" s="54"/>
      <c r="F26" s="54"/>
      <c r="G26" s="196"/>
      <c r="H26" s="196"/>
      <c r="I26" s="196"/>
      <c r="J26" s="196"/>
      <c r="L26" s="196"/>
    </row>
    <row r="27" spans="1:16" ht="20.25" x14ac:dyDescent="0.3">
      <c r="A27" s="56"/>
      <c r="B27" s="57" t="s">
        <v>57</v>
      </c>
      <c r="C27" s="57"/>
      <c r="D27" s="57"/>
      <c r="E27" s="57"/>
      <c r="F27" s="57"/>
      <c r="G27" s="218"/>
      <c r="H27" s="197"/>
      <c r="I27" s="218"/>
      <c r="J27" s="197"/>
      <c r="L27" s="197"/>
      <c r="P27" s="553"/>
    </row>
    <row r="28" spans="1:16" s="55" customFormat="1" ht="20.25" hidden="1" x14ac:dyDescent="0.2">
      <c r="A28" s="58"/>
      <c r="B28" s="58"/>
      <c r="C28" s="58"/>
      <c r="D28" s="58" t="s">
        <v>79</v>
      </c>
      <c r="E28" s="58"/>
      <c r="F28" s="58"/>
      <c r="G28" s="193"/>
      <c r="H28" s="193">
        <v>221731.4</v>
      </c>
      <c r="I28" s="193"/>
      <c r="J28" s="193">
        <v>221731.4</v>
      </c>
      <c r="K28" s="204"/>
      <c r="L28" s="193">
        <v>192474.47</v>
      </c>
      <c r="P28" s="204"/>
    </row>
    <row r="29" spans="1:16" s="55" customFormat="1" ht="20.25" hidden="1" x14ac:dyDescent="0.2">
      <c r="A29" s="58"/>
      <c r="B29" s="58"/>
      <c r="C29" s="58"/>
      <c r="D29" s="58" t="s">
        <v>80</v>
      </c>
      <c r="E29" s="58"/>
      <c r="F29" s="58"/>
      <c r="G29" s="193"/>
      <c r="H29" s="193">
        <v>49562</v>
      </c>
      <c r="I29" s="193"/>
      <c r="J29" s="193">
        <v>49562</v>
      </c>
      <c r="K29" s="204"/>
      <c r="L29" s="193">
        <v>49562</v>
      </c>
    </row>
    <row r="30" spans="1:16" s="55" customFormat="1" ht="20.25" hidden="1" x14ac:dyDescent="0.2">
      <c r="A30" s="58"/>
      <c r="B30" s="58"/>
      <c r="C30" s="58"/>
      <c r="D30" s="58" t="s">
        <v>81</v>
      </c>
      <c r="E30" s="58"/>
      <c r="F30" s="58"/>
      <c r="G30" s="193"/>
      <c r="H30" s="193">
        <v>207734.77</v>
      </c>
      <c r="I30" s="193"/>
      <c r="J30" s="193">
        <v>207734.77</v>
      </c>
      <c r="K30" s="204"/>
      <c r="L30" s="193">
        <v>158464.06</v>
      </c>
    </row>
    <row r="31" spans="1:16" s="55" customFormat="1" ht="20.25" hidden="1" x14ac:dyDescent="0.2">
      <c r="A31" s="58"/>
      <c r="B31" s="58"/>
      <c r="C31" s="58"/>
      <c r="D31" s="58" t="s">
        <v>82</v>
      </c>
      <c r="E31" s="58"/>
      <c r="F31" s="58"/>
      <c r="G31" s="193"/>
      <c r="H31" s="193">
        <v>-324036.03999999998</v>
      </c>
      <c r="I31" s="193"/>
      <c r="J31" s="193">
        <v>-324036.03999999998</v>
      </c>
      <c r="K31" s="204"/>
      <c r="L31" s="193">
        <f>-279077.04</f>
        <v>-279077.03999999998</v>
      </c>
    </row>
    <row r="32" spans="1:16" s="55" customFormat="1" ht="20.25" x14ac:dyDescent="0.2">
      <c r="A32" s="54"/>
      <c r="B32" s="60" t="s">
        <v>324</v>
      </c>
      <c r="C32" s="60"/>
      <c r="D32" s="60"/>
      <c r="E32" s="60"/>
      <c r="F32" s="60"/>
      <c r="G32" s="196"/>
      <c r="H32" s="198">
        <f>220354.83-11360</f>
        <v>208994.83</v>
      </c>
      <c r="I32" s="196"/>
      <c r="J32" s="198">
        <v>201555.58</v>
      </c>
      <c r="L32" s="198">
        <f>124788.58+87000</f>
        <v>211788.58000000002</v>
      </c>
      <c r="P32" s="196"/>
    </row>
    <row r="33" spans="1:61" s="55" customFormat="1" ht="7.5" customHeight="1" x14ac:dyDescent="0.2">
      <c r="A33" s="54"/>
      <c r="B33" s="54"/>
      <c r="C33" s="54"/>
      <c r="D33" s="54"/>
      <c r="E33" s="54"/>
      <c r="F33" s="54"/>
      <c r="G33" s="196"/>
      <c r="H33" s="196" t="s">
        <v>539</v>
      </c>
      <c r="I33" s="196"/>
      <c r="J33" s="196" t="s">
        <v>539</v>
      </c>
      <c r="L33" s="196"/>
    </row>
    <row r="34" spans="1:61" s="55" customFormat="1" ht="12.75" customHeight="1" thickBot="1" x14ac:dyDescent="0.25">
      <c r="A34" s="54"/>
      <c r="B34" s="54"/>
      <c r="C34" s="54"/>
      <c r="D34" s="54"/>
      <c r="E34" s="54"/>
      <c r="F34" s="54"/>
      <c r="G34" s="193"/>
      <c r="H34" s="193"/>
      <c r="I34" s="193"/>
      <c r="J34" s="193"/>
      <c r="L34" s="193"/>
    </row>
    <row r="35" spans="1:61" s="63" customFormat="1" ht="27.75" thickTop="1" thickBot="1" x14ac:dyDescent="0.25">
      <c r="A35" s="61" t="s">
        <v>58</v>
      </c>
      <c r="B35" s="61"/>
      <c r="C35" s="61"/>
      <c r="D35" s="61"/>
      <c r="E35" s="61"/>
      <c r="F35" s="61"/>
      <c r="G35" s="220"/>
      <c r="H35" s="203">
        <f>H25+H32</f>
        <v>1549207.94</v>
      </c>
      <c r="I35" s="220"/>
      <c r="J35" s="203">
        <f>J25+J32</f>
        <v>1572209.65</v>
      </c>
      <c r="K35" s="62"/>
      <c r="L35" s="203">
        <f>L25+L32</f>
        <v>1323728.5100000002</v>
      </c>
      <c r="M35" s="62"/>
      <c r="N35" s="62"/>
      <c r="O35" s="62"/>
      <c r="P35" s="500"/>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row>
    <row r="36" spans="1:61" s="64" customFormat="1" ht="33" customHeight="1" thickTop="1" thickBot="1" x14ac:dyDescent="0.25">
      <c r="A36" s="54"/>
      <c r="B36" s="54"/>
      <c r="C36" s="54"/>
      <c r="D36" s="54"/>
      <c r="E36" s="54"/>
      <c r="F36" s="54"/>
      <c r="G36" s="273"/>
      <c r="H36" s="196"/>
      <c r="I36" s="196"/>
      <c r="J36" s="196"/>
      <c r="L36" s="196"/>
      <c r="P36" s="323"/>
    </row>
    <row r="37" spans="1:61" s="53" customFormat="1" ht="27.75" thickTop="1" thickBot="1" x14ac:dyDescent="0.25">
      <c r="A37" s="51" t="s">
        <v>59</v>
      </c>
      <c r="B37" s="51"/>
      <c r="C37" s="51"/>
      <c r="D37" s="51"/>
      <c r="E37" s="51"/>
      <c r="F37" s="51"/>
      <c r="G37" s="272"/>
      <c r="H37" s="199"/>
      <c r="I37" s="199"/>
      <c r="J37" s="199"/>
      <c r="K37" s="52"/>
      <c r="L37" s="199"/>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row>
    <row r="38" spans="1:61" s="55" customFormat="1" ht="12.75" customHeight="1" thickTop="1" x14ac:dyDescent="0.2">
      <c r="A38" s="54"/>
      <c r="B38" s="54"/>
      <c r="C38" s="54"/>
      <c r="D38" s="54"/>
      <c r="E38" s="54"/>
      <c r="F38" s="54"/>
      <c r="G38" s="193"/>
      <c r="H38" s="193"/>
      <c r="I38" s="193"/>
      <c r="J38" s="193"/>
      <c r="L38" s="193"/>
    </row>
    <row r="39" spans="1:61" s="55" customFormat="1" ht="19.5" customHeight="1" thickBot="1" x14ac:dyDescent="0.25">
      <c r="A39" s="54"/>
      <c r="B39" s="65" t="s">
        <v>60</v>
      </c>
      <c r="C39" s="66"/>
      <c r="D39" s="66"/>
      <c r="E39" s="66"/>
      <c r="F39" s="66"/>
      <c r="G39" s="200"/>
      <c r="H39" s="200"/>
      <c r="I39" s="200"/>
      <c r="J39" s="200"/>
      <c r="L39" s="200"/>
      <c r="P39" s="322"/>
    </row>
    <row r="40" spans="1:61" s="55" customFormat="1" ht="9" customHeight="1" x14ac:dyDescent="0.2">
      <c r="A40" s="54"/>
      <c r="B40" s="54"/>
      <c r="C40" s="54"/>
      <c r="D40" s="54"/>
      <c r="E40" s="54"/>
      <c r="F40" s="54"/>
      <c r="G40" s="193"/>
      <c r="H40" s="193"/>
      <c r="I40" s="193"/>
      <c r="J40" s="193"/>
      <c r="L40" s="193"/>
    </row>
    <row r="41" spans="1:61" ht="21" thickBot="1" x14ac:dyDescent="0.35">
      <c r="A41" s="56"/>
      <c r="B41" s="120" t="s">
        <v>61</v>
      </c>
      <c r="C41" s="121"/>
      <c r="D41" s="120"/>
      <c r="E41" s="120"/>
      <c r="F41" s="120"/>
      <c r="G41" s="218"/>
      <c r="H41" s="194"/>
      <c r="I41" s="218"/>
      <c r="J41" s="194"/>
      <c r="L41" s="194"/>
    </row>
    <row r="42" spans="1:61" s="55" customFormat="1" ht="20.25" x14ac:dyDescent="0.2">
      <c r="A42" s="58"/>
      <c r="B42" s="58"/>
      <c r="C42" s="58"/>
      <c r="D42" s="58" t="s">
        <v>148</v>
      </c>
      <c r="F42" s="58"/>
      <c r="G42" s="202"/>
      <c r="H42" s="202">
        <v>19403.64</v>
      </c>
      <c r="I42" s="202"/>
      <c r="J42" s="202">
        <v>11252.39</v>
      </c>
      <c r="K42" s="318"/>
      <c r="L42" s="202">
        <v>10104.290000000001</v>
      </c>
      <c r="N42" s="318"/>
      <c r="P42" s="322"/>
    </row>
    <row r="43" spans="1:61" s="55" customFormat="1" ht="20.25" x14ac:dyDescent="0.2">
      <c r="A43" s="58"/>
      <c r="B43" s="58"/>
      <c r="C43" s="58"/>
      <c r="D43" s="58" t="s">
        <v>95</v>
      </c>
      <c r="F43" s="58"/>
      <c r="G43" s="193"/>
      <c r="H43" s="193">
        <v>2351.8000000000002</v>
      </c>
      <c r="I43" s="193"/>
      <c r="J43" s="193">
        <v>1663.45</v>
      </c>
      <c r="L43" s="193">
        <v>1706.07</v>
      </c>
    </row>
    <row r="44" spans="1:61" s="55" customFormat="1" ht="20.25" hidden="1" x14ac:dyDescent="0.2">
      <c r="A44" s="58"/>
      <c r="B44" s="58"/>
      <c r="C44" s="58"/>
      <c r="D44" s="58" t="s">
        <v>402</v>
      </c>
      <c r="F44" s="58"/>
      <c r="G44" s="193"/>
      <c r="H44" s="193">
        <v>0</v>
      </c>
      <c r="I44" s="193"/>
      <c r="J44" s="193">
        <v>0</v>
      </c>
      <c r="L44" s="193"/>
    </row>
    <row r="45" spans="1:61" s="55" customFormat="1" ht="20.25" x14ac:dyDescent="0.2">
      <c r="A45" s="58"/>
      <c r="B45" s="58"/>
      <c r="C45" s="58"/>
      <c r="D45" s="789" t="s">
        <v>463</v>
      </c>
      <c r="E45" s="789"/>
      <c r="F45" s="789"/>
      <c r="G45" s="193"/>
      <c r="H45" s="193">
        <f>74607.16+8669+2400</f>
        <v>85676.160000000003</v>
      </c>
      <c r="I45" s="193"/>
      <c r="J45" s="193">
        <f>86278.72+8669</f>
        <v>94947.72</v>
      </c>
      <c r="L45" s="193">
        <f>17294.84+8669+87000</f>
        <v>112963.84</v>
      </c>
      <c r="P45" s="193"/>
    </row>
    <row r="46" spans="1:61" s="55" customFormat="1" ht="20.25" x14ac:dyDescent="0.2">
      <c r="A46" s="58"/>
      <c r="B46" s="58"/>
      <c r="C46" s="58"/>
      <c r="D46" s="58" t="s">
        <v>83</v>
      </c>
      <c r="F46" s="58"/>
      <c r="G46" s="193"/>
      <c r="H46" s="193">
        <v>0</v>
      </c>
      <c r="I46" s="193"/>
      <c r="J46" s="193">
        <v>26916.5</v>
      </c>
      <c r="L46" s="193">
        <v>7681.44</v>
      </c>
    </row>
    <row r="47" spans="1:61" s="55" customFormat="1" ht="20.25" hidden="1" x14ac:dyDescent="0.2">
      <c r="A47" s="58"/>
      <c r="B47" s="58"/>
      <c r="C47" s="58"/>
      <c r="D47" s="58" t="s">
        <v>155</v>
      </c>
      <c r="F47" s="58"/>
      <c r="G47" s="193"/>
      <c r="H47" s="193">
        <v>0</v>
      </c>
      <c r="I47" s="193"/>
      <c r="J47" s="193">
        <v>0</v>
      </c>
      <c r="L47" s="193">
        <v>0</v>
      </c>
    </row>
    <row r="48" spans="1:61" s="55" customFormat="1" ht="20.25" x14ac:dyDescent="0.2">
      <c r="A48" s="58"/>
      <c r="B48" s="58"/>
      <c r="C48" s="58"/>
      <c r="D48" s="59" t="s">
        <v>94</v>
      </c>
      <c r="E48" s="119"/>
      <c r="F48" s="59"/>
      <c r="G48" s="193"/>
      <c r="H48" s="193">
        <f>'April''24 Revenues &amp; Expenses'!L61</f>
        <v>227307.25</v>
      </c>
      <c r="I48" s="193"/>
      <c r="J48" s="193">
        <v>322217.98</v>
      </c>
      <c r="K48" s="204"/>
      <c r="L48" s="193">
        <v>144128.57999999999</v>
      </c>
      <c r="P48" s="204"/>
    </row>
    <row r="49" spans="1:17" s="55" customFormat="1" ht="20.25" x14ac:dyDescent="0.2">
      <c r="A49" s="58"/>
      <c r="B49" s="58"/>
      <c r="C49" s="60" t="s">
        <v>71</v>
      </c>
      <c r="D49" s="58"/>
      <c r="F49" s="58"/>
      <c r="G49" s="193"/>
      <c r="H49" s="201">
        <f>SUM(H42:H48)</f>
        <v>334738.84999999998</v>
      </c>
      <c r="I49" s="193"/>
      <c r="J49" s="201">
        <f>SUM(J42:J48)</f>
        <v>456998.04</v>
      </c>
      <c r="L49" s="201">
        <f>SUM(L42:L48)</f>
        <v>276584.21999999997</v>
      </c>
      <c r="P49" s="322"/>
    </row>
    <row r="50" spans="1:17" s="55" customFormat="1" ht="9.75" customHeight="1" x14ac:dyDescent="0.2">
      <c r="A50" s="58"/>
      <c r="B50" s="58"/>
      <c r="C50" s="58"/>
      <c r="D50" s="58"/>
      <c r="E50" s="58"/>
      <c r="F50" s="58"/>
      <c r="G50" s="193"/>
      <c r="H50" s="193"/>
      <c r="I50" s="193"/>
      <c r="J50" s="193"/>
      <c r="L50" s="193"/>
    </row>
    <row r="51" spans="1:17" s="55" customFormat="1" ht="20.25" x14ac:dyDescent="0.2">
      <c r="A51" s="58"/>
      <c r="B51" s="58"/>
      <c r="C51" s="67" t="s">
        <v>73</v>
      </c>
      <c r="D51" s="67"/>
      <c r="E51" s="119"/>
      <c r="F51" s="119"/>
      <c r="G51" s="193"/>
      <c r="H51" s="195"/>
      <c r="I51" s="193"/>
      <c r="J51" s="195"/>
      <c r="L51" s="195"/>
    </row>
    <row r="52" spans="1:17" s="55" customFormat="1" ht="20.25" x14ac:dyDescent="0.2">
      <c r="A52" s="58"/>
      <c r="B52" s="58"/>
      <c r="C52" s="58"/>
      <c r="D52" s="58" t="s">
        <v>86</v>
      </c>
      <c r="E52" s="58"/>
      <c r="F52" s="58"/>
      <c r="G52" s="193"/>
      <c r="H52" s="193">
        <f>18072.75+2756.93-H54-H55+299.64</f>
        <v>20261.28</v>
      </c>
      <c r="I52" s="193"/>
      <c r="J52" s="193">
        <f>36843.86+1930.12-J54-J55</f>
        <v>37749.699999999997</v>
      </c>
      <c r="L52" s="193">
        <f>19644.01+4085.25-L54-L55</f>
        <v>21883.119999999999</v>
      </c>
    </row>
    <row r="53" spans="1:17" s="55" customFormat="1" ht="20.25" x14ac:dyDescent="0.2">
      <c r="A53" s="58"/>
      <c r="B53" s="58"/>
      <c r="C53" s="58"/>
      <c r="D53" s="58" t="s">
        <v>87</v>
      </c>
      <c r="E53" s="58"/>
      <c r="F53" s="58"/>
      <c r="G53" s="193"/>
      <c r="H53" s="193">
        <v>27172.57</v>
      </c>
      <c r="I53" s="193"/>
      <c r="J53" s="193">
        <v>19374.5</v>
      </c>
      <c r="L53" s="193">
        <f>28317.66</f>
        <v>28317.66</v>
      </c>
      <c r="Q53" s="204"/>
    </row>
    <row r="54" spans="1:17" s="55" customFormat="1" ht="20.25" x14ac:dyDescent="0.2">
      <c r="A54" s="58"/>
      <c r="B54" s="58"/>
      <c r="C54" s="58"/>
      <c r="D54" s="58" t="s">
        <v>88</v>
      </c>
      <c r="E54" s="58"/>
      <c r="F54" s="58"/>
      <c r="G54" s="193"/>
      <c r="H54" s="193">
        <v>868.04</v>
      </c>
      <c r="I54" s="193"/>
      <c r="J54" s="193">
        <v>880.16</v>
      </c>
      <c r="L54" s="193">
        <v>1708.88</v>
      </c>
    </row>
    <row r="55" spans="1:17" s="55" customFormat="1" ht="20.25" x14ac:dyDescent="0.2">
      <c r="A55" s="58"/>
      <c r="B55" s="58"/>
      <c r="C55" s="58"/>
      <c r="D55" s="58" t="s">
        <v>89</v>
      </c>
      <c r="E55" s="58"/>
      <c r="F55" s="58"/>
      <c r="G55" s="193"/>
      <c r="H55" s="195"/>
      <c r="I55" s="193"/>
      <c r="J55" s="195">
        <v>144.12</v>
      </c>
      <c r="L55" s="195">
        <v>137.26</v>
      </c>
      <c r="Q55" s="204"/>
    </row>
    <row r="56" spans="1:17" s="55" customFormat="1" ht="20.25" x14ac:dyDescent="0.2">
      <c r="A56" s="58"/>
      <c r="B56" s="58"/>
      <c r="C56" s="54" t="s">
        <v>72</v>
      </c>
      <c r="D56" s="58"/>
      <c r="F56" s="58"/>
      <c r="G56" s="193"/>
      <c r="H56" s="193">
        <f>ROUND(SUM(H51:H55),5)</f>
        <v>48301.89</v>
      </c>
      <c r="I56" s="193"/>
      <c r="J56" s="193">
        <f>ROUND(SUM(J51:J55),5)</f>
        <v>58148.480000000003</v>
      </c>
      <c r="L56" s="193">
        <f>ROUND(SUM(L51:L55),5)</f>
        <v>52046.92</v>
      </c>
    </row>
    <row r="57" spans="1:17" s="55" customFormat="1" ht="7.5" customHeight="1" x14ac:dyDescent="0.2">
      <c r="A57" s="58"/>
      <c r="B57" s="58"/>
      <c r="C57" s="59"/>
      <c r="D57" s="59"/>
      <c r="E57" s="59"/>
      <c r="F57" s="59"/>
      <c r="G57" s="193"/>
      <c r="H57" s="195"/>
      <c r="I57" s="193"/>
      <c r="J57" s="195"/>
      <c r="L57" s="195"/>
    </row>
    <row r="58" spans="1:17" s="55" customFormat="1" ht="20.25" x14ac:dyDescent="0.2">
      <c r="A58" s="54"/>
      <c r="B58" s="54"/>
      <c r="C58" s="54" t="s">
        <v>74</v>
      </c>
      <c r="D58" s="54"/>
      <c r="E58" s="54"/>
      <c r="F58" s="54"/>
      <c r="G58" s="196"/>
      <c r="H58" s="196">
        <f>H49+H56</f>
        <v>383040.74</v>
      </c>
      <c r="I58" s="196"/>
      <c r="J58" s="196">
        <f>J49+J56</f>
        <v>515146.51999999996</v>
      </c>
      <c r="K58" s="204"/>
      <c r="L58" s="196">
        <f>L49+L56</f>
        <v>328631.13999999996</v>
      </c>
      <c r="N58" s="285"/>
      <c r="P58" s="285"/>
    </row>
    <row r="59" spans="1:17" s="55" customFormat="1" ht="18.75" customHeight="1" x14ac:dyDescent="0.2">
      <c r="A59" s="54"/>
      <c r="B59" s="54"/>
      <c r="C59" s="54"/>
      <c r="D59" s="54"/>
      <c r="E59" s="54"/>
      <c r="F59" s="54"/>
      <c r="G59" s="196"/>
      <c r="H59" s="196"/>
      <c r="I59" s="196"/>
      <c r="J59" s="196"/>
      <c r="L59" s="285"/>
    </row>
    <row r="60" spans="1:17" s="55" customFormat="1" ht="24" thickBot="1" x14ac:dyDescent="0.25">
      <c r="A60" s="54"/>
      <c r="B60" s="65" t="s">
        <v>62</v>
      </c>
      <c r="C60" s="66"/>
      <c r="D60" s="66"/>
      <c r="E60" s="66"/>
      <c r="F60" s="66"/>
      <c r="G60" s="193"/>
      <c r="H60" s="200"/>
      <c r="I60" s="193"/>
      <c r="J60" s="200"/>
      <c r="L60" s="200"/>
    </row>
    <row r="61" spans="1:17" s="55" customFormat="1" ht="20.25" x14ac:dyDescent="0.2">
      <c r="A61" s="58"/>
      <c r="B61" s="58"/>
      <c r="D61" s="58" t="s">
        <v>327</v>
      </c>
      <c r="E61" s="58"/>
      <c r="F61" s="58"/>
      <c r="G61" s="193"/>
      <c r="H61" s="193">
        <f>977255.19+35972.48+12500</f>
        <v>1025727.6699999999</v>
      </c>
      <c r="I61" s="193"/>
      <c r="J61" s="193">
        <f>854583.12+35972.48+12500</f>
        <v>903055.6</v>
      </c>
      <c r="K61" s="204"/>
      <c r="L61" s="193">
        <f>J61</f>
        <v>903055.6</v>
      </c>
      <c r="P61" s="204"/>
    </row>
    <row r="62" spans="1:17" s="55" customFormat="1" ht="20.25" x14ac:dyDescent="0.2">
      <c r="A62" s="58"/>
      <c r="B62" s="58"/>
      <c r="D62" s="58" t="s">
        <v>328</v>
      </c>
      <c r="E62" s="58"/>
      <c r="F62" s="58"/>
      <c r="G62" s="193"/>
      <c r="H62" s="193">
        <f>'April''24 Revenues &amp; Expenses'!L82-0.5</f>
        <v>101262.5</v>
      </c>
      <c r="I62" s="193"/>
      <c r="J62" s="193">
        <v>31335.46</v>
      </c>
      <c r="K62" s="204"/>
      <c r="L62" s="193">
        <v>103523.25</v>
      </c>
      <c r="O62" s="204"/>
      <c r="P62" s="204"/>
    </row>
    <row r="63" spans="1:17" s="55" customFormat="1" ht="21" thickBot="1" x14ac:dyDescent="0.25">
      <c r="A63" s="54"/>
      <c r="B63" s="54"/>
      <c r="D63" s="58" t="s">
        <v>128</v>
      </c>
      <c r="E63" s="54"/>
      <c r="F63" s="66"/>
      <c r="G63" s="193"/>
      <c r="H63" s="200">
        <f>'April''24 State of Activities'!G58</f>
        <v>39176.799999999872</v>
      </c>
      <c r="I63" s="193"/>
      <c r="J63" s="200">
        <f>'April''24 State of Activities'!H58</f>
        <v>122672.0700000003</v>
      </c>
      <c r="L63" s="200">
        <f>'April''24 State of Activities'!J58</f>
        <v>-11481.479999999865</v>
      </c>
      <c r="P63" s="322"/>
    </row>
    <row r="64" spans="1:17" s="55" customFormat="1" ht="23.25" x14ac:dyDescent="0.2">
      <c r="A64" s="54"/>
      <c r="B64" s="68" t="s">
        <v>63</v>
      </c>
      <c r="C64" s="69"/>
      <c r="D64" s="69"/>
      <c r="E64" s="69"/>
      <c r="F64" s="54"/>
      <c r="G64" s="196"/>
      <c r="H64" s="196">
        <f>ROUND(SUM(H60:H63),5)</f>
        <v>1166166.97</v>
      </c>
      <c r="I64" s="196"/>
      <c r="J64" s="196">
        <f>ROUND(SUM(J60:J63),5)</f>
        <v>1057063.1299999999</v>
      </c>
      <c r="L64" s="196">
        <f>ROUND(SUM(L60:L63),5)</f>
        <v>995097.37</v>
      </c>
      <c r="P64" s="322"/>
    </row>
    <row r="65" spans="1:12" s="55" customFormat="1" ht="12.75" customHeight="1" x14ac:dyDescent="0.2">
      <c r="A65" s="54"/>
      <c r="B65" s="54"/>
      <c r="C65" s="54"/>
      <c r="D65" s="54"/>
      <c r="E65" s="54"/>
      <c r="F65" s="54"/>
      <c r="G65" s="193"/>
      <c r="H65" s="195"/>
      <c r="I65" s="193"/>
      <c r="J65" s="195"/>
      <c r="L65" s="195"/>
    </row>
    <row r="66" spans="1:12" s="62" customFormat="1" ht="27" thickBot="1" x14ac:dyDescent="0.25">
      <c r="A66" s="61" t="s">
        <v>64</v>
      </c>
      <c r="B66" s="61"/>
      <c r="C66" s="61"/>
      <c r="D66" s="61"/>
      <c r="E66" s="61"/>
      <c r="F66" s="61"/>
      <c r="G66" s="220"/>
      <c r="H66" s="297">
        <f>SUM(H58+H64)</f>
        <v>1549207.71</v>
      </c>
      <c r="I66" s="220"/>
      <c r="J66" s="297">
        <f>SUM(J58+J64)</f>
        <v>1572209.65</v>
      </c>
      <c r="L66" s="297">
        <f>SUM(L58+L64)</f>
        <v>1323728.51</v>
      </c>
    </row>
    <row r="67" spans="1:12" ht="15" thickTop="1" x14ac:dyDescent="0.2">
      <c r="D67" s="286"/>
    </row>
    <row r="68" spans="1:12" hidden="1" x14ac:dyDescent="0.2">
      <c r="G68" s="206"/>
      <c r="H68" s="206"/>
      <c r="I68" s="206"/>
      <c r="J68" s="206"/>
      <c r="L68" s="206"/>
    </row>
    <row r="69" spans="1:12" ht="14.25" customHeight="1" x14ac:dyDescent="0.2">
      <c r="C69" s="851" t="s">
        <v>197</v>
      </c>
      <c r="D69" s="851"/>
      <c r="E69" s="851"/>
      <c r="F69" s="851"/>
      <c r="H69" s="353">
        <f>(H19+H16)/H58</f>
        <v>2.2905011879415231</v>
      </c>
      <c r="J69" s="353">
        <f>(J19+J16)/J58</f>
        <v>1.8029754524984467</v>
      </c>
      <c r="K69" s="204"/>
      <c r="L69" s="353">
        <f>(L19+L16)/L58</f>
        <v>2.1480085849442023</v>
      </c>
    </row>
    <row r="72" spans="1:12" x14ac:dyDescent="0.2">
      <c r="G72" s="190"/>
      <c r="H72" s="206"/>
      <c r="I72" s="190"/>
      <c r="J72" s="206"/>
      <c r="L72" s="206"/>
    </row>
    <row r="73" spans="1:12" x14ac:dyDescent="0.2">
      <c r="L73" s="486"/>
    </row>
    <row r="74" spans="1:12" x14ac:dyDescent="0.2">
      <c r="H74" s="206"/>
    </row>
    <row r="76" spans="1:12" x14ac:dyDescent="0.2">
      <c r="J76" s="190"/>
    </row>
    <row r="77" spans="1:12" x14ac:dyDescent="0.2">
      <c r="H77" s="190"/>
      <c r="J77" s="190"/>
    </row>
  </sheetData>
  <mergeCells count="3">
    <mergeCell ref="C69:F69"/>
    <mergeCell ref="H6:J6"/>
    <mergeCell ref="D45:F45"/>
  </mergeCells>
  <pageMargins left="0.7" right="0.45" top="0.25" bottom="0" header="0.3" footer="0"/>
  <pageSetup scale="71"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T104"/>
  <sheetViews>
    <sheetView topLeftCell="A35" zoomScale="70" zoomScaleNormal="70" workbookViewId="0"/>
  </sheetViews>
  <sheetFormatPr defaultRowHeight="18" x14ac:dyDescent="0.25"/>
  <cols>
    <col min="1" max="1" width="2.875" style="45" customWidth="1"/>
    <col min="2" max="2" width="8.125" style="45" customWidth="1"/>
    <col min="3" max="3" width="8.75" style="45" customWidth="1"/>
    <col min="4" max="4" width="5.75" style="45" customWidth="1"/>
    <col min="5" max="5" width="2.875" style="45" customWidth="1"/>
    <col min="6" max="6" width="44.625" style="45" customWidth="1"/>
    <col min="7" max="7" width="24" style="190" bestFit="1" customWidth="1"/>
    <col min="8" max="8" width="24.25" customWidth="1"/>
    <col min="9" max="9" width="1.625" customWidth="1"/>
    <col min="10" max="10" width="23" customWidth="1"/>
    <col min="11" max="11" width="1.875" style="305" customWidth="1"/>
    <col min="12" max="12" width="17.25" customWidth="1"/>
    <col min="13" max="13" width="10.75" bestFit="1" customWidth="1"/>
    <col min="14" max="14" width="72.625" style="10" bestFit="1" customWidth="1"/>
    <col min="15" max="15" width="10.125" style="21" bestFit="1" customWidth="1"/>
    <col min="17" max="17" width="13" bestFit="1" customWidth="1"/>
    <col min="240" max="240" width="2.875" customWidth="1"/>
    <col min="241" max="241" width="8.125" customWidth="1"/>
    <col min="242" max="242" width="8.75" customWidth="1"/>
    <col min="243" max="243" width="11" customWidth="1"/>
    <col min="244" max="244" width="2.875" customWidth="1"/>
    <col min="245" max="245" width="77.625" customWidth="1"/>
    <col min="246" max="246" width="20.875" customWidth="1"/>
    <col min="496" max="496" width="2.875" customWidth="1"/>
    <col min="497" max="497" width="8.125" customWidth="1"/>
    <col min="498" max="498" width="8.75" customWidth="1"/>
    <col min="499" max="499" width="11" customWidth="1"/>
    <col min="500" max="500" width="2.875" customWidth="1"/>
    <col min="501" max="501" width="77.625" customWidth="1"/>
    <col min="502" max="502" width="20.875" customWidth="1"/>
    <col min="752" max="752" width="2.875" customWidth="1"/>
    <col min="753" max="753" width="8.125" customWidth="1"/>
    <col min="754" max="754" width="8.75" customWidth="1"/>
    <col min="755" max="755" width="11" customWidth="1"/>
    <col min="756" max="756" width="2.875" customWidth="1"/>
    <col min="757" max="757" width="77.625" customWidth="1"/>
    <col min="758" max="758" width="20.875" customWidth="1"/>
    <col min="1008" max="1008" width="2.875" customWidth="1"/>
    <col min="1009" max="1009" width="8.125" customWidth="1"/>
    <col min="1010" max="1010" width="8.75" customWidth="1"/>
    <col min="1011" max="1011" width="11" customWidth="1"/>
    <col min="1012" max="1012" width="2.875" customWidth="1"/>
    <col min="1013" max="1013" width="77.625" customWidth="1"/>
    <col min="1014" max="1014" width="20.875" customWidth="1"/>
    <col min="1264" max="1264" width="2.875" customWidth="1"/>
    <col min="1265" max="1265" width="8.125" customWidth="1"/>
    <col min="1266" max="1266" width="8.75" customWidth="1"/>
    <col min="1267" max="1267" width="11" customWidth="1"/>
    <col min="1268" max="1268" width="2.875" customWidth="1"/>
    <col min="1269" max="1269" width="77.625" customWidth="1"/>
    <col min="1270" max="1270" width="20.875" customWidth="1"/>
    <col min="1520" max="1520" width="2.875" customWidth="1"/>
    <col min="1521" max="1521" width="8.125" customWidth="1"/>
    <col min="1522" max="1522" width="8.75" customWidth="1"/>
    <col min="1523" max="1523" width="11" customWidth="1"/>
    <col min="1524" max="1524" width="2.875" customWidth="1"/>
    <col min="1525" max="1525" width="77.625" customWidth="1"/>
    <col min="1526" max="1526" width="20.875" customWidth="1"/>
    <col min="1776" max="1776" width="2.875" customWidth="1"/>
    <col min="1777" max="1777" width="8.125" customWidth="1"/>
    <col min="1778" max="1778" width="8.75" customWidth="1"/>
    <col min="1779" max="1779" width="11" customWidth="1"/>
    <col min="1780" max="1780" width="2.875" customWidth="1"/>
    <col min="1781" max="1781" width="77.625" customWidth="1"/>
    <col min="1782" max="1782" width="20.875" customWidth="1"/>
    <col min="2032" max="2032" width="2.875" customWidth="1"/>
    <col min="2033" max="2033" width="8.125" customWidth="1"/>
    <col min="2034" max="2034" width="8.75" customWidth="1"/>
    <col min="2035" max="2035" width="11" customWidth="1"/>
    <col min="2036" max="2036" width="2.875" customWidth="1"/>
    <col min="2037" max="2037" width="77.625" customWidth="1"/>
    <col min="2038" max="2038" width="20.875" customWidth="1"/>
    <col min="2288" max="2288" width="2.875" customWidth="1"/>
    <col min="2289" max="2289" width="8.125" customWidth="1"/>
    <col min="2290" max="2290" width="8.75" customWidth="1"/>
    <col min="2291" max="2291" width="11" customWidth="1"/>
    <col min="2292" max="2292" width="2.875" customWidth="1"/>
    <col min="2293" max="2293" width="77.625" customWidth="1"/>
    <col min="2294" max="2294" width="20.875" customWidth="1"/>
    <col min="2544" max="2544" width="2.875" customWidth="1"/>
    <col min="2545" max="2545" width="8.125" customWidth="1"/>
    <col min="2546" max="2546" width="8.75" customWidth="1"/>
    <col min="2547" max="2547" width="11" customWidth="1"/>
    <col min="2548" max="2548" width="2.875" customWidth="1"/>
    <col min="2549" max="2549" width="77.625" customWidth="1"/>
    <col min="2550" max="2550" width="20.875" customWidth="1"/>
    <col min="2800" max="2800" width="2.875" customWidth="1"/>
    <col min="2801" max="2801" width="8.125" customWidth="1"/>
    <col min="2802" max="2802" width="8.75" customWidth="1"/>
    <col min="2803" max="2803" width="11" customWidth="1"/>
    <col min="2804" max="2804" width="2.875" customWidth="1"/>
    <col min="2805" max="2805" width="77.625" customWidth="1"/>
    <col min="2806" max="2806" width="20.875" customWidth="1"/>
    <col min="3056" max="3056" width="2.875" customWidth="1"/>
    <col min="3057" max="3057" width="8.125" customWidth="1"/>
    <col min="3058" max="3058" width="8.75" customWidth="1"/>
    <col min="3059" max="3059" width="11" customWidth="1"/>
    <col min="3060" max="3060" width="2.875" customWidth="1"/>
    <col min="3061" max="3061" width="77.625" customWidth="1"/>
    <col min="3062" max="3062" width="20.875" customWidth="1"/>
    <col min="3312" max="3312" width="2.875" customWidth="1"/>
    <col min="3313" max="3313" width="8.125" customWidth="1"/>
    <col min="3314" max="3314" width="8.75" customWidth="1"/>
    <col min="3315" max="3315" width="11" customWidth="1"/>
    <col min="3316" max="3316" width="2.875" customWidth="1"/>
    <col min="3317" max="3317" width="77.625" customWidth="1"/>
    <col min="3318" max="3318" width="20.875" customWidth="1"/>
    <col min="3568" max="3568" width="2.875" customWidth="1"/>
    <col min="3569" max="3569" width="8.125" customWidth="1"/>
    <col min="3570" max="3570" width="8.75" customWidth="1"/>
    <col min="3571" max="3571" width="11" customWidth="1"/>
    <col min="3572" max="3572" width="2.875" customWidth="1"/>
    <col min="3573" max="3573" width="77.625" customWidth="1"/>
    <col min="3574" max="3574" width="20.875" customWidth="1"/>
    <col min="3824" max="3824" width="2.875" customWidth="1"/>
    <col min="3825" max="3825" width="8.125" customWidth="1"/>
    <col min="3826" max="3826" width="8.75" customWidth="1"/>
    <col min="3827" max="3827" width="11" customWidth="1"/>
    <col min="3828" max="3828" width="2.875" customWidth="1"/>
    <col min="3829" max="3829" width="77.625" customWidth="1"/>
    <col min="3830" max="3830" width="20.875" customWidth="1"/>
    <col min="4080" max="4080" width="2.875" customWidth="1"/>
    <col min="4081" max="4081" width="8.125" customWidth="1"/>
    <col min="4082" max="4082" width="8.75" customWidth="1"/>
    <col min="4083" max="4083" width="11" customWidth="1"/>
    <col min="4084" max="4084" width="2.875" customWidth="1"/>
    <col min="4085" max="4085" width="77.625" customWidth="1"/>
    <col min="4086" max="4086" width="20.875" customWidth="1"/>
    <col min="4336" max="4336" width="2.875" customWidth="1"/>
    <col min="4337" max="4337" width="8.125" customWidth="1"/>
    <col min="4338" max="4338" width="8.75" customWidth="1"/>
    <col min="4339" max="4339" width="11" customWidth="1"/>
    <col min="4340" max="4340" width="2.875" customWidth="1"/>
    <col min="4341" max="4341" width="77.625" customWidth="1"/>
    <col min="4342" max="4342" width="20.875" customWidth="1"/>
    <col min="4592" max="4592" width="2.875" customWidth="1"/>
    <col min="4593" max="4593" width="8.125" customWidth="1"/>
    <col min="4594" max="4594" width="8.75" customWidth="1"/>
    <col min="4595" max="4595" width="11" customWidth="1"/>
    <col min="4596" max="4596" width="2.875" customWidth="1"/>
    <col min="4597" max="4597" width="77.625" customWidth="1"/>
    <col min="4598" max="4598" width="20.875" customWidth="1"/>
    <col min="4848" max="4848" width="2.875" customWidth="1"/>
    <col min="4849" max="4849" width="8.125" customWidth="1"/>
    <col min="4850" max="4850" width="8.75" customWidth="1"/>
    <col min="4851" max="4851" width="11" customWidth="1"/>
    <col min="4852" max="4852" width="2.875" customWidth="1"/>
    <col min="4853" max="4853" width="77.625" customWidth="1"/>
    <col min="4854" max="4854" width="20.875" customWidth="1"/>
    <col min="5104" max="5104" width="2.875" customWidth="1"/>
    <col min="5105" max="5105" width="8.125" customWidth="1"/>
    <col min="5106" max="5106" width="8.75" customWidth="1"/>
    <col min="5107" max="5107" width="11" customWidth="1"/>
    <col min="5108" max="5108" width="2.875" customWidth="1"/>
    <col min="5109" max="5109" width="77.625" customWidth="1"/>
    <col min="5110" max="5110" width="20.875" customWidth="1"/>
    <col min="5360" max="5360" width="2.875" customWidth="1"/>
    <col min="5361" max="5361" width="8.125" customWidth="1"/>
    <col min="5362" max="5362" width="8.75" customWidth="1"/>
    <col min="5363" max="5363" width="11" customWidth="1"/>
    <col min="5364" max="5364" width="2.875" customWidth="1"/>
    <col min="5365" max="5365" width="77.625" customWidth="1"/>
    <col min="5366" max="5366" width="20.875" customWidth="1"/>
    <col min="5616" max="5616" width="2.875" customWidth="1"/>
    <col min="5617" max="5617" width="8.125" customWidth="1"/>
    <col min="5618" max="5618" width="8.75" customWidth="1"/>
    <col min="5619" max="5619" width="11" customWidth="1"/>
    <col min="5620" max="5620" width="2.875" customWidth="1"/>
    <col min="5621" max="5621" width="77.625" customWidth="1"/>
    <col min="5622" max="5622" width="20.875" customWidth="1"/>
    <col min="5872" max="5872" width="2.875" customWidth="1"/>
    <col min="5873" max="5873" width="8.125" customWidth="1"/>
    <col min="5874" max="5874" width="8.75" customWidth="1"/>
    <col min="5875" max="5875" width="11" customWidth="1"/>
    <col min="5876" max="5876" width="2.875" customWidth="1"/>
    <col min="5877" max="5877" width="77.625" customWidth="1"/>
    <col min="5878" max="5878" width="20.875" customWidth="1"/>
    <col min="6128" max="6128" width="2.875" customWidth="1"/>
    <col min="6129" max="6129" width="8.125" customWidth="1"/>
    <col min="6130" max="6130" width="8.75" customWidth="1"/>
    <col min="6131" max="6131" width="11" customWidth="1"/>
    <col min="6132" max="6132" width="2.875" customWidth="1"/>
    <col min="6133" max="6133" width="77.625" customWidth="1"/>
    <col min="6134" max="6134" width="20.875" customWidth="1"/>
    <col min="6384" max="6384" width="2.875" customWidth="1"/>
    <col min="6385" max="6385" width="8.125" customWidth="1"/>
    <col min="6386" max="6386" width="8.75" customWidth="1"/>
    <col min="6387" max="6387" width="11" customWidth="1"/>
    <col min="6388" max="6388" width="2.875" customWidth="1"/>
    <col min="6389" max="6389" width="77.625" customWidth="1"/>
    <col min="6390" max="6390" width="20.875" customWidth="1"/>
    <col min="6640" max="6640" width="2.875" customWidth="1"/>
    <col min="6641" max="6641" width="8.125" customWidth="1"/>
    <col min="6642" max="6642" width="8.75" customWidth="1"/>
    <col min="6643" max="6643" width="11" customWidth="1"/>
    <col min="6644" max="6644" width="2.875" customWidth="1"/>
    <col min="6645" max="6645" width="77.625" customWidth="1"/>
    <col min="6646" max="6646" width="20.875" customWidth="1"/>
    <col min="6896" max="6896" width="2.875" customWidth="1"/>
    <col min="6897" max="6897" width="8.125" customWidth="1"/>
    <col min="6898" max="6898" width="8.75" customWidth="1"/>
    <col min="6899" max="6899" width="11" customWidth="1"/>
    <col min="6900" max="6900" width="2.875" customWidth="1"/>
    <col min="6901" max="6901" width="77.625" customWidth="1"/>
    <col min="6902" max="6902" width="20.875" customWidth="1"/>
    <col min="7152" max="7152" width="2.875" customWidth="1"/>
    <col min="7153" max="7153" width="8.125" customWidth="1"/>
    <col min="7154" max="7154" width="8.75" customWidth="1"/>
    <col min="7155" max="7155" width="11" customWidth="1"/>
    <col min="7156" max="7156" width="2.875" customWidth="1"/>
    <col min="7157" max="7157" width="77.625" customWidth="1"/>
    <col min="7158" max="7158" width="20.875" customWidth="1"/>
    <col min="7408" max="7408" width="2.875" customWidth="1"/>
    <col min="7409" max="7409" width="8.125" customWidth="1"/>
    <col min="7410" max="7410" width="8.75" customWidth="1"/>
    <col min="7411" max="7411" width="11" customWidth="1"/>
    <col min="7412" max="7412" width="2.875" customWidth="1"/>
    <col min="7413" max="7413" width="77.625" customWidth="1"/>
    <col min="7414" max="7414" width="20.875" customWidth="1"/>
    <col min="7664" max="7664" width="2.875" customWidth="1"/>
    <col min="7665" max="7665" width="8.125" customWidth="1"/>
    <col min="7666" max="7666" width="8.75" customWidth="1"/>
    <col min="7667" max="7667" width="11" customWidth="1"/>
    <col min="7668" max="7668" width="2.875" customWidth="1"/>
    <col min="7669" max="7669" width="77.625" customWidth="1"/>
    <col min="7670" max="7670" width="20.875" customWidth="1"/>
    <col min="7920" max="7920" width="2.875" customWidth="1"/>
    <col min="7921" max="7921" width="8.125" customWidth="1"/>
    <col min="7922" max="7922" width="8.75" customWidth="1"/>
    <col min="7923" max="7923" width="11" customWidth="1"/>
    <col min="7924" max="7924" width="2.875" customWidth="1"/>
    <col min="7925" max="7925" width="77.625" customWidth="1"/>
    <col min="7926" max="7926" width="20.875" customWidth="1"/>
    <col min="8176" max="8176" width="2.875" customWidth="1"/>
    <col min="8177" max="8177" width="8.125" customWidth="1"/>
    <col min="8178" max="8178" width="8.75" customWidth="1"/>
    <col min="8179" max="8179" width="11" customWidth="1"/>
    <col min="8180" max="8180" width="2.875" customWidth="1"/>
    <col min="8181" max="8181" width="77.625" customWidth="1"/>
    <col min="8182" max="8182" width="20.875" customWidth="1"/>
    <col min="8432" max="8432" width="2.875" customWidth="1"/>
    <col min="8433" max="8433" width="8.125" customWidth="1"/>
    <col min="8434" max="8434" width="8.75" customWidth="1"/>
    <col min="8435" max="8435" width="11" customWidth="1"/>
    <col min="8436" max="8436" width="2.875" customWidth="1"/>
    <col min="8437" max="8437" width="77.625" customWidth="1"/>
    <col min="8438" max="8438" width="20.875" customWidth="1"/>
    <col min="8688" max="8688" width="2.875" customWidth="1"/>
    <col min="8689" max="8689" width="8.125" customWidth="1"/>
    <col min="8690" max="8690" width="8.75" customWidth="1"/>
    <col min="8691" max="8691" width="11" customWidth="1"/>
    <col min="8692" max="8692" width="2.875" customWidth="1"/>
    <col min="8693" max="8693" width="77.625" customWidth="1"/>
    <col min="8694" max="8694" width="20.875" customWidth="1"/>
    <col min="8944" max="8944" width="2.875" customWidth="1"/>
    <col min="8945" max="8945" width="8.125" customWidth="1"/>
    <col min="8946" max="8946" width="8.75" customWidth="1"/>
    <col min="8947" max="8947" width="11" customWidth="1"/>
    <col min="8948" max="8948" width="2.875" customWidth="1"/>
    <col min="8949" max="8949" width="77.625" customWidth="1"/>
    <col min="8950" max="8950" width="20.875" customWidth="1"/>
    <col min="9200" max="9200" width="2.875" customWidth="1"/>
    <col min="9201" max="9201" width="8.125" customWidth="1"/>
    <col min="9202" max="9202" width="8.75" customWidth="1"/>
    <col min="9203" max="9203" width="11" customWidth="1"/>
    <col min="9204" max="9204" width="2.875" customWidth="1"/>
    <col min="9205" max="9205" width="77.625" customWidth="1"/>
    <col min="9206" max="9206" width="20.875" customWidth="1"/>
    <col min="9456" max="9456" width="2.875" customWidth="1"/>
    <col min="9457" max="9457" width="8.125" customWidth="1"/>
    <col min="9458" max="9458" width="8.75" customWidth="1"/>
    <col min="9459" max="9459" width="11" customWidth="1"/>
    <col min="9460" max="9460" width="2.875" customWidth="1"/>
    <col min="9461" max="9461" width="77.625" customWidth="1"/>
    <col min="9462" max="9462" width="20.875" customWidth="1"/>
    <col min="9712" max="9712" width="2.875" customWidth="1"/>
    <col min="9713" max="9713" width="8.125" customWidth="1"/>
    <col min="9714" max="9714" width="8.75" customWidth="1"/>
    <col min="9715" max="9715" width="11" customWidth="1"/>
    <col min="9716" max="9716" width="2.875" customWidth="1"/>
    <col min="9717" max="9717" width="77.625" customWidth="1"/>
    <col min="9718" max="9718" width="20.875" customWidth="1"/>
    <col min="9968" max="9968" width="2.875" customWidth="1"/>
    <col min="9969" max="9969" width="8.125" customWidth="1"/>
    <col min="9970" max="9970" width="8.75" customWidth="1"/>
    <col min="9971" max="9971" width="11" customWidth="1"/>
    <col min="9972" max="9972" width="2.875" customWidth="1"/>
    <col min="9973" max="9973" width="77.625" customWidth="1"/>
    <col min="9974" max="9974" width="20.875" customWidth="1"/>
    <col min="10224" max="10224" width="2.875" customWidth="1"/>
    <col min="10225" max="10225" width="8.125" customWidth="1"/>
    <col min="10226" max="10226" width="8.75" customWidth="1"/>
    <col min="10227" max="10227" width="11" customWidth="1"/>
    <col min="10228" max="10228" width="2.875" customWidth="1"/>
    <col min="10229" max="10229" width="77.625" customWidth="1"/>
    <col min="10230" max="10230" width="20.875" customWidth="1"/>
    <col min="10480" max="10480" width="2.875" customWidth="1"/>
    <col min="10481" max="10481" width="8.125" customWidth="1"/>
    <col min="10482" max="10482" width="8.75" customWidth="1"/>
    <col min="10483" max="10483" width="11" customWidth="1"/>
    <col min="10484" max="10484" width="2.875" customWidth="1"/>
    <col min="10485" max="10485" width="77.625" customWidth="1"/>
    <col min="10486" max="10486" width="20.875" customWidth="1"/>
    <col min="10736" max="10736" width="2.875" customWidth="1"/>
    <col min="10737" max="10737" width="8.125" customWidth="1"/>
    <col min="10738" max="10738" width="8.75" customWidth="1"/>
    <col min="10739" max="10739" width="11" customWidth="1"/>
    <col min="10740" max="10740" width="2.875" customWidth="1"/>
    <col min="10741" max="10741" width="77.625" customWidth="1"/>
    <col min="10742" max="10742" width="20.875" customWidth="1"/>
    <col min="10992" max="10992" width="2.875" customWidth="1"/>
    <col min="10993" max="10993" width="8.125" customWidth="1"/>
    <col min="10994" max="10994" width="8.75" customWidth="1"/>
    <col min="10995" max="10995" width="11" customWidth="1"/>
    <col min="10996" max="10996" width="2.875" customWidth="1"/>
    <col min="10997" max="10997" width="77.625" customWidth="1"/>
    <col min="10998" max="10998" width="20.875" customWidth="1"/>
    <col min="11248" max="11248" width="2.875" customWidth="1"/>
    <col min="11249" max="11249" width="8.125" customWidth="1"/>
    <col min="11250" max="11250" width="8.75" customWidth="1"/>
    <col min="11251" max="11251" width="11" customWidth="1"/>
    <col min="11252" max="11252" width="2.875" customWidth="1"/>
    <col min="11253" max="11253" width="77.625" customWidth="1"/>
    <col min="11254" max="11254" width="20.875" customWidth="1"/>
    <col min="11504" max="11504" width="2.875" customWidth="1"/>
    <col min="11505" max="11505" width="8.125" customWidth="1"/>
    <col min="11506" max="11506" width="8.75" customWidth="1"/>
    <col min="11507" max="11507" width="11" customWidth="1"/>
    <col min="11508" max="11508" width="2.875" customWidth="1"/>
    <col min="11509" max="11509" width="77.625" customWidth="1"/>
    <col min="11510" max="11510" width="20.875" customWidth="1"/>
    <col min="11760" max="11760" width="2.875" customWidth="1"/>
    <col min="11761" max="11761" width="8.125" customWidth="1"/>
    <col min="11762" max="11762" width="8.75" customWidth="1"/>
    <col min="11763" max="11763" width="11" customWidth="1"/>
    <col min="11764" max="11764" width="2.875" customWidth="1"/>
    <col min="11765" max="11765" width="77.625" customWidth="1"/>
    <col min="11766" max="11766" width="20.875" customWidth="1"/>
    <col min="12016" max="12016" width="2.875" customWidth="1"/>
    <col min="12017" max="12017" width="8.125" customWidth="1"/>
    <col min="12018" max="12018" width="8.75" customWidth="1"/>
    <col min="12019" max="12019" width="11" customWidth="1"/>
    <col min="12020" max="12020" width="2.875" customWidth="1"/>
    <col min="12021" max="12021" width="77.625" customWidth="1"/>
    <col min="12022" max="12022" width="20.875" customWidth="1"/>
    <col min="12272" max="12272" width="2.875" customWidth="1"/>
    <col min="12273" max="12273" width="8.125" customWidth="1"/>
    <col min="12274" max="12274" width="8.75" customWidth="1"/>
    <col min="12275" max="12275" width="11" customWidth="1"/>
    <col min="12276" max="12276" width="2.875" customWidth="1"/>
    <col min="12277" max="12277" width="77.625" customWidth="1"/>
    <col min="12278" max="12278" width="20.875" customWidth="1"/>
    <col min="12528" max="12528" width="2.875" customWidth="1"/>
    <col min="12529" max="12529" width="8.125" customWidth="1"/>
    <col min="12530" max="12530" width="8.75" customWidth="1"/>
    <col min="12531" max="12531" width="11" customWidth="1"/>
    <col min="12532" max="12532" width="2.875" customWidth="1"/>
    <col min="12533" max="12533" width="77.625" customWidth="1"/>
    <col min="12534" max="12534" width="20.875" customWidth="1"/>
    <col min="12784" max="12784" width="2.875" customWidth="1"/>
    <col min="12785" max="12785" width="8.125" customWidth="1"/>
    <col min="12786" max="12786" width="8.75" customWidth="1"/>
    <col min="12787" max="12787" width="11" customWidth="1"/>
    <col min="12788" max="12788" width="2.875" customWidth="1"/>
    <col min="12789" max="12789" width="77.625" customWidth="1"/>
    <col min="12790" max="12790" width="20.875" customWidth="1"/>
    <col min="13040" max="13040" width="2.875" customWidth="1"/>
    <col min="13041" max="13041" width="8.125" customWidth="1"/>
    <col min="13042" max="13042" width="8.75" customWidth="1"/>
    <col min="13043" max="13043" width="11" customWidth="1"/>
    <col min="13044" max="13044" width="2.875" customWidth="1"/>
    <col min="13045" max="13045" width="77.625" customWidth="1"/>
    <col min="13046" max="13046" width="20.875" customWidth="1"/>
    <col min="13296" max="13296" width="2.875" customWidth="1"/>
    <col min="13297" max="13297" width="8.125" customWidth="1"/>
    <col min="13298" max="13298" width="8.75" customWidth="1"/>
    <col min="13299" max="13299" width="11" customWidth="1"/>
    <col min="13300" max="13300" width="2.875" customWidth="1"/>
    <col min="13301" max="13301" width="77.625" customWidth="1"/>
    <col min="13302" max="13302" width="20.875" customWidth="1"/>
    <col min="13552" max="13552" width="2.875" customWidth="1"/>
    <col min="13553" max="13553" width="8.125" customWidth="1"/>
    <col min="13554" max="13554" width="8.75" customWidth="1"/>
    <col min="13555" max="13555" width="11" customWidth="1"/>
    <col min="13556" max="13556" width="2.875" customWidth="1"/>
    <col min="13557" max="13557" width="77.625" customWidth="1"/>
    <col min="13558" max="13558" width="20.875" customWidth="1"/>
    <col min="13808" max="13808" width="2.875" customWidth="1"/>
    <col min="13809" max="13809" width="8.125" customWidth="1"/>
    <col min="13810" max="13810" width="8.75" customWidth="1"/>
    <col min="13811" max="13811" width="11" customWidth="1"/>
    <col min="13812" max="13812" width="2.875" customWidth="1"/>
    <col min="13813" max="13813" width="77.625" customWidth="1"/>
    <col min="13814" max="13814" width="20.875" customWidth="1"/>
    <col min="14064" max="14064" width="2.875" customWidth="1"/>
    <col min="14065" max="14065" width="8.125" customWidth="1"/>
    <col min="14066" max="14066" width="8.75" customWidth="1"/>
    <col min="14067" max="14067" width="11" customWidth="1"/>
    <col min="14068" max="14068" width="2.875" customWidth="1"/>
    <col min="14069" max="14069" width="77.625" customWidth="1"/>
    <col min="14070" max="14070" width="20.875" customWidth="1"/>
    <col min="14320" max="14320" width="2.875" customWidth="1"/>
    <col min="14321" max="14321" width="8.125" customWidth="1"/>
    <col min="14322" max="14322" width="8.75" customWidth="1"/>
    <col min="14323" max="14323" width="11" customWidth="1"/>
    <col min="14324" max="14324" width="2.875" customWidth="1"/>
    <col min="14325" max="14325" width="77.625" customWidth="1"/>
    <col min="14326" max="14326" width="20.875" customWidth="1"/>
    <col min="14576" max="14576" width="2.875" customWidth="1"/>
    <col min="14577" max="14577" width="8.125" customWidth="1"/>
    <col min="14578" max="14578" width="8.75" customWidth="1"/>
    <col min="14579" max="14579" width="11" customWidth="1"/>
    <col min="14580" max="14580" width="2.875" customWidth="1"/>
    <col min="14581" max="14581" width="77.625" customWidth="1"/>
    <col min="14582" max="14582" width="20.875" customWidth="1"/>
    <col min="14832" max="14832" width="2.875" customWidth="1"/>
    <col min="14833" max="14833" width="8.125" customWidth="1"/>
    <col min="14834" max="14834" width="8.75" customWidth="1"/>
    <col min="14835" max="14835" width="11" customWidth="1"/>
    <col min="14836" max="14836" width="2.875" customWidth="1"/>
    <col min="14837" max="14837" width="77.625" customWidth="1"/>
    <col min="14838" max="14838" width="20.875" customWidth="1"/>
    <col min="15088" max="15088" width="2.875" customWidth="1"/>
    <col min="15089" max="15089" width="8.125" customWidth="1"/>
    <col min="15090" max="15090" width="8.75" customWidth="1"/>
    <col min="15091" max="15091" width="11" customWidth="1"/>
    <col min="15092" max="15092" width="2.875" customWidth="1"/>
    <col min="15093" max="15093" width="77.625" customWidth="1"/>
    <col min="15094" max="15094" width="20.875" customWidth="1"/>
    <col min="15344" max="15344" width="2.875" customWidth="1"/>
    <col min="15345" max="15345" width="8.125" customWidth="1"/>
    <col min="15346" max="15346" width="8.75" customWidth="1"/>
    <col min="15347" max="15347" width="11" customWidth="1"/>
    <col min="15348" max="15348" width="2.875" customWidth="1"/>
    <col min="15349" max="15349" width="77.625" customWidth="1"/>
    <col min="15350" max="15350" width="20.875" customWidth="1"/>
    <col min="15600" max="15600" width="2.875" customWidth="1"/>
    <col min="15601" max="15601" width="8.125" customWidth="1"/>
    <col min="15602" max="15602" width="8.75" customWidth="1"/>
    <col min="15603" max="15603" width="11" customWidth="1"/>
    <col min="15604" max="15604" width="2.875" customWidth="1"/>
    <col min="15605" max="15605" width="77.625" customWidth="1"/>
    <col min="15606" max="15606" width="20.875" customWidth="1"/>
    <col min="15856" max="15856" width="2.875" customWidth="1"/>
    <col min="15857" max="15857" width="8.125" customWidth="1"/>
    <col min="15858" max="15858" width="8.75" customWidth="1"/>
    <col min="15859" max="15859" width="11" customWidth="1"/>
    <col min="15860" max="15860" width="2.875" customWidth="1"/>
    <col min="15861" max="15861" width="77.625" customWidth="1"/>
    <col min="15862" max="15862" width="20.875" customWidth="1"/>
    <col min="16112" max="16112" width="2.875" customWidth="1"/>
    <col min="16113" max="16113" width="8.125" customWidth="1"/>
    <col min="16114" max="16114" width="8.75" customWidth="1"/>
    <col min="16115" max="16115" width="11" customWidth="1"/>
    <col min="16116" max="16116" width="2.875" customWidth="1"/>
    <col min="16117" max="16117" width="77.625" customWidth="1"/>
    <col min="16118" max="16118" width="20.875" customWidth="1"/>
  </cols>
  <sheetData>
    <row r="1" spans="1:46" ht="22.5" customHeight="1" x14ac:dyDescent="0.4">
      <c r="A1" s="46" t="s">
        <v>93</v>
      </c>
      <c r="B1" s="47"/>
      <c r="C1" s="48"/>
      <c r="D1" s="48"/>
      <c r="E1" s="48"/>
      <c r="F1" s="47"/>
      <c r="G1" s="191"/>
      <c r="H1" s="47"/>
      <c r="I1" s="47"/>
      <c r="J1" s="47"/>
      <c r="K1" s="301"/>
      <c r="L1" s="47"/>
      <c r="M1" s="47"/>
      <c r="N1" s="424"/>
      <c r="O1" s="785"/>
      <c r="P1" s="47"/>
      <c r="Q1" s="47"/>
      <c r="R1" s="47"/>
      <c r="S1" s="47"/>
      <c r="T1" s="47"/>
      <c r="U1" s="47"/>
      <c r="V1" s="47"/>
      <c r="W1" s="47"/>
      <c r="X1" s="47"/>
    </row>
    <row r="2" spans="1:46" ht="22.5" customHeight="1" x14ac:dyDescent="0.4">
      <c r="A2" s="46" t="s">
        <v>330</v>
      </c>
      <c r="B2" s="47"/>
      <c r="C2" s="48"/>
      <c r="D2" s="48"/>
      <c r="E2" s="48"/>
      <c r="F2" s="47"/>
      <c r="G2" s="191"/>
      <c r="H2" s="47"/>
      <c r="I2" s="47"/>
      <c r="J2" s="191"/>
      <c r="K2" s="301"/>
      <c r="L2" s="47"/>
      <c r="M2" s="47"/>
      <c r="N2" s="424"/>
      <c r="O2" s="785"/>
      <c r="P2" s="47"/>
      <c r="Q2" s="47"/>
      <c r="R2" s="47"/>
      <c r="S2" s="47"/>
      <c r="T2" s="47"/>
      <c r="U2" s="47"/>
      <c r="V2" s="47"/>
      <c r="W2" s="47"/>
      <c r="X2" s="47"/>
    </row>
    <row r="3" spans="1:46" ht="22.5" customHeight="1" x14ac:dyDescent="0.4">
      <c r="A3" s="46" t="s">
        <v>675</v>
      </c>
      <c r="B3" s="47"/>
      <c r="C3" s="48"/>
      <c r="D3" s="48"/>
      <c r="E3" s="48"/>
      <c r="F3" s="47"/>
      <c r="G3" s="191"/>
      <c r="H3" s="47"/>
      <c r="I3" s="47"/>
      <c r="J3" s="47"/>
      <c r="K3" s="301"/>
      <c r="L3" s="47"/>
      <c r="M3" s="47"/>
      <c r="N3" s="424"/>
      <c r="O3" s="785"/>
      <c r="P3" s="47"/>
      <c r="Q3" s="47"/>
      <c r="R3" s="47"/>
      <c r="S3" s="47"/>
      <c r="T3" s="47"/>
      <c r="U3" s="47"/>
      <c r="V3" s="47"/>
      <c r="W3" s="47"/>
      <c r="X3" s="47"/>
    </row>
    <row r="4" spans="1:46" ht="22.5" customHeight="1" x14ac:dyDescent="0.4">
      <c r="A4" s="46" t="s">
        <v>637</v>
      </c>
      <c r="B4" s="47"/>
      <c r="C4" s="48"/>
      <c r="D4" s="48"/>
      <c r="E4" s="48"/>
      <c r="F4" s="47"/>
      <c r="G4" s="191"/>
      <c r="H4" s="47"/>
      <c r="I4" s="47"/>
      <c r="J4" s="47"/>
      <c r="K4" s="301"/>
      <c r="L4" s="47"/>
      <c r="M4" s="47"/>
      <c r="N4" s="424"/>
      <c r="O4" s="785"/>
      <c r="P4" s="47"/>
      <c r="Q4" s="47"/>
      <c r="R4" s="47"/>
      <c r="S4" s="47"/>
      <c r="T4" s="47"/>
      <c r="U4" s="47"/>
      <c r="V4" s="47"/>
      <c r="W4" s="47"/>
      <c r="X4" s="47"/>
    </row>
    <row r="5" spans="1:46" s="50" customFormat="1" ht="5.25" customHeight="1" thickBot="1" x14ac:dyDescent="0.25">
      <c r="A5" s="49"/>
      <c r="B5" s="49"/>
      <c r="C5" s="49"/>
      <c r="D5" s="49"/>
      <c r="E5" s="49"/>
      <c r="F5" s="49"/>
      <c r="G5" s="192"/>
      <c r="K5" s="302"/>
      <c r="N5" s="425"/>
      <c r="O5" s="679"/>
    </row>
    <row r="6" spans="1:46" s="53" customFormat="1" ht="24.75" customHeight="1" thickTop="1" thickBot="1" x14ac:dyDescent="0.25">
      <c r="A6" s="51" t="s">
        <v>107</v>
      </c>
      <c r="B6" s="51"/>
      <c r="C6" s="51"/>
      <c r="D6" s="51"/>
      <c r="E6" s="51"/>
      <c r="F6" s="51"/>
      <c r="G6" s="787" t="s">
        <v>49</v>
      </c>
      <c r="H6" s="787"/>
      <c r="I6" s="787"/>
      <c r="J6" s="787"/>
      <c r="K6" s="491"/>
      <c r="L6" s="333" t="s">
        <v>180</v>
      </c>
      <c r="M6" s="333" t="s">
        <v>192</v>
      </c>
      <c r="N6" s="491" t="s">
        <v>179</v>
      </c>
      <c r="O6" s="68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row>
    <row r="7" spans="1:46" s="55" customFormat="1" ht="8.25" customHeight="1" thickTop="1" x14ac:dyDescent="0.2">
      <c r="A7" s="54"/>
      <c r="B7" s="54"/>
      <c r="C7" s="54"/>
      <c r="D7" s="54"/>
      <c r="E7" s="54"/>
      <c r="F7" s="54"/>
      <c r="G7" s="193"/>
      <c r="K7" s="304"/>
      <c r="N7" s="426"/>
      <c r="O7" s="577"/>
    </row>
    <row r="8" spans="1:46" ht="21" thickBot="1" x14ac:dyDescent="0.35">
      <c r="A8" s="56"/>
      <c r="B8" s="120" t="s">
        <v>99</v>
      </c>
      <c r="C8" s="120"/>
      <c r="D8" s="120"/>
      <c r="E8" s="120"/>
      <c r="F8" s="120"/>
      <c r="G8" s="231">
        <f>'April''24 Financial Position'!H8</f>
        <v>45412</v>
      </c>
      <c r="H8" s="231">
        <v>45291</v>
      </c>
      <c r="I8" s="271"/>
      <c r="J8" s="231">
        <f>G8-365-1</f>
        <v>45046</v>
      </c>
      <c r="L8" s="852" t="s">
        <v>674</v>
      </c>
      <c r="M8" s="852"/>
      <c r="N8" s="640"/>
    </row>
    <row r="9" spans="1:46" s="55" customFormat="1" ht="20.25" x14ac:dyDescent="0.2">
      <c r="A9" s="54"/>
      <c r="B9" s="54"/>
      <c r="C9" s="58" t="s">
        <v>100</v>
      </c>
      <c r="D9" s="58"/>
      <c r="E9" s="58"/>
      <c r="F9" s="54"/>
      <c r="G9" s="202">
        <v>198630.84</v>
      </c>
      <c r="H9" s="202">
        <v>692550.7</v>
      </c>
      <c r="I9" s="202"/>
      <c r="J9" s="202">
        <v>244349.7</v>
      </c>
      <c r="K9" s="304"/>
      <c r="L9" s="317">
        <f>G9-J9</f>
        <v>-45718.860000000015</v>
      </c>
      <c r="M9" s="354">
        <f>L9/J9</f>
        <v>-0.18710421989468379</v>
      </c>
      <c r="N9" s="427" t="s">
        <v>686</v>
      </c>
      <c r="O9" s="577"/>
    </row>
    <row r="10" spans="1:46" s="55" customFormat="1" ht="20.25" x14ac:dyDescent="0.2">
      <c r="A10" s="54"/>
      <c r="B10" s="54"/>
      <c r="C10" s="58" t="s">
        <v>149</v>
      </c>
      <c r="D10" s="58"/>
      <c r="E10" s="58"/>
      <c r="F10" s="54"/>
      <c r="G10" s="193">
        <v>48868.62</v>
      </c>
      <c r="H10" s="193">
        <v>131259.47</v>
      </c>
      <c r="I10" s="193"/>
      <c r="J10" s="193">
        <v>40539.47</v>
      </c>
      <c r="K10" s="304"/>
      <c r="L10" s="225">
        <f>G10-J10</f>
        <v>8329.1500000000015</v>
      </c>
      <c r="M10" s="354">
        <f>L10/J10</f>
        <v>0.20545779212209733</v>
      </c>
      <c r="N10" s="426"/>
      <c r="O10" s="577"/>
    </row>
    <row r="11" spans="1:46" s="55" customFormat="1" ht="20.25" hidden="1" x14ac:dyDescent="0.2">
      <c r="A11" s="54"/>
      <c r="B11" s="54"/>
      <c r="C11" s="58" t="s">
        <v>459</v>
      </c>
      <c r="D11" s="58"/>
      <c r="E11" s="58"/>
      <c r="F11" s="54"/>
      <c r="G11" s="193">
        <v>0</v>
      </c>
      <c r="H11" s="193">
        <v>0</v>
      </c>
      <c r="I11" s="193"/>
      <c r="J11" s="193">
        <v>0</v>
      </c>
      <c r="K11" s="304"/>
      <c r="L11" s="225">
        <f>G11-J11</f>
        <v>0</v>
      </c>
      <c r="M11" s="354"/>
      <c r="N11" s="426"/>
      <c r="O11" s="577"/>
    </row>
    <row r="12" spans="1:46" s="55" customFormat="1" ht="20.25" x14ac:dyDescent="0.2">
      <c r="A12" s="54"/>
      <c r="B12" s="54"/>
      <c r="C12" s="58" t="s">
        <v>178</v>
      </c>
      <c r="D12" s="58"/>
      <c r="E12" s="58"/>
      <c r="F12" s="54"/>
      <c r="G12" s="193">
        <v>11007.96</v>
      </c>
      <c r="H12" s="193">
        <f>43656.35+939.66</f>
        <v>44596.01</v>
      </c>
      <c r="I12" s="193"/>
      <c r="J12" s="193">
        <f>529.58+17771.69</f>
        <v>18301.27</v>
      </c>
      <c r="K12" s="304"/>
      <c r="L12" s="225">
        <f>G12-J12</f>
        <v>-7293.3100000000013</v>
      </c>
      <c r="M12" s="354">
        <f>L12/J12</f>
        <v>-0.39851387362734941</v>
      </c>
      <c r="N12" s="426" t="s">
        <v>687</v>
      </c>
      <c r="O12" s="577"/>
    </row>
    <row r="13" spans="1:46" s="55" customFormat="1" ht="20.25" x14ac:dyDescent="0.2">
      <c r="A13" s="54"/>
      <c r="B13" s="54"/>
      <c r="C13" s="58" t="s">
        <v>540</v>
      </c>
      <c r="D13" s="58"/>
      <c r="E13" s="58"/>
      <c r="F13" s="54"/>
      <c r="G13" s="193">
        <v>1250</v>
      </c>
      <c r="H13" s="193">
        <v>5000</v>
      </c>
      <c r="I13" s="193"/>
      <c r="J13" s="193"/>
      <c r="K13" s="304"/>
      <c r="L13" s="225">
        <f>G13-J13</f>
        <v>1250</v>
      </c>
      <c r="M13" s="354"/>
      <c r="N13" s="426"/>
      <c r="O13" s="577"/>
    </row>
    <row r="14" spans="1:46" s="55" customFormat="1" ht="20.25" x14ac:dyDescent="0.2">
      <c r="A14" s="54"/>
      <c r="B14" s="54"/>
      <c r="C14" s="58" t="s">
        <v>101</v>
      </c>
      <c r="D14" s="58"/>
      <c r="E14" s="58"/>
      <c r="F14" s="54"/>
      <c r="G14" s="193"/>
      <c r="H14" s="193"/>
      <c r="I14" s="193"/>
      <c r="J14" s="193"/>
      <c r="K14" s="304"/>
      <c r="L14" s="225"/>
      <c r="M14" s="354"/>
      <c r="N14" s="426"/>
      <c r="O14" s="577"/>
    </row>
    <row r="15" spans="1:46" s="55" customFormat="1" ht="20.25" x14ac:dyDescent="0.2">
      <c r="A15" s="54"/>
      <c r="B15" s="54"/>
      <c r="D15" s="58" t="s">
        <v>138</v>
      </c>
      <c r="E15" s="58"/>
      <c r="F15" s="54"/>
      <c r="G15" s="193">
        <v>73953.23</v>
      </c>
      <c r="H15" s="193">
        <v>217853.38</v>
      </c>
      <c r="I15" s="193"/>
      <c r="J15" s="193">
        <v>67681.39</v>
      </c>
      <c r="K15" s="304"/>
      <c r="L15" s="225">
        <f t="shared" ref="L15:L28" si="0">G15-J15</f>
        <v>6271.8399999999965</v>
      </c>
      <c r="M15" s="354">
        <f>L15/J15</f>
        <v>9.2667127551606082E-2</v>
      </c>
      <c r="N15" s="426"/>
      <c r="O15" s="577"/>
    </row>
    <row r="16" spans="1:46" s="55" customFormat="1" ht="20.25" x14ac:dyDescent="0.2">
      <c r="A16" s="54"/>
      <c r="B16" s="54"/>
      <c r="D16" s="58" t="s">
        <v>158</v>
      </c>
      <c r="E16" s="58"/>
      <c r="F16" s="54"/>
      <c r="G16" s="193">
        <v>6000</v>
      </c>
      <c r="H16" s="193">
        <v>18000</v>
      </c>
      <c r="I16" s="193"/>
      <c r="J16" s="193">
        <f>G16</f>
        <v>6000</v>
      </c>
      <c r="K16" s="304"/>
      <c r="L16" s="225">
        <f t="shared" si="0"/>
        <v>0</v>
      </c>
      <c r="M16" s="354">
        <f>L16/J16</f>
        <v>0</v>
      </c>
      <c r="N16" s="426"/>
      <c r="O16" s="577"/>
    </row>
    <row r="17" spans="1:17" s="55" customFormat="1" ht="20.25" x14ac:dyDescent="0.2">
      <c r="A17" s="54"/>
      <c r="B17" s="54"/>
      <c r="D17" s="58" t="s">
        <v>399</v>
      </c>
      <c r="E17" s="58"/>
      <c r="F17" s="54"/>
      <c r="G17" s="193">
        <v>1250</v>
      </c>
      <c r="H17" s="193">
        <v>29597.8</v>
      </c>
      <c r="I17" s="193"/>
      <c r="J17" s="193">
        <v>29597.8</v>
      </c>
      <c r="K17" s="304"/>
      <c r="L17" s="225">
        <f t="shared" si="0"/>
        <v>-28347.8</v>
      </c>
      <c r="M17" s="354">
        <f>L17/J17</f>
        <v>-0.9577671313408429</v>
      </c>
      <c r="N17" s="426" t="s">
        <v>554</v>
      </c>
      <c r="O17" s="577"/>
    </row>
    <row r="18" spans="1:17" s="55" customFormat="1" ht="20.25" x14ac:dyDescent="0.2">
      <c r="A18" s="54"/>
      <c r="B18" s="54"/>
      <c r="C18" s="58" t="s">
        <v>102</v>
      </c>
      <c r="D18" s="58"/>
      <c r="E18" s="58"/>
      <c r="F18" s="54"/>
      <c r="G18" s="193">
        <f>'April''24 Revenues &amp; Expenses'!J72</f>
        <v>5893.7</v>
      </c>
      <c r="H18" s="193">
        <v>23822.38</v>
      </c>
      <c r="I18" s="193"/>
      <c r="J18" s="193">
        <v>9210.07</v>
      </c>
      <c r="K18" s="304"/>
      <c r="L18" s="225">
        <f t="shared" si="0"/>
        <v>-3316.37</v>
      </c>
      <c r="M18" s="354">
        <f>L18/J18</f>
        <v>-0.36008086800643208</v>
      </c>
      <c r="N18" s="427" t="s">
        <v>688</v>
      </c>
      <c r="O18" s="577"/>
      <c r="Q18" s="204"/>
    </row>
    <row r="19" spans="1:17" s="55" customFormat="1" ht="20.25" x14ac:dyDescent="0.2">
      <c r="A19" s="54"/>
      <c r="B19" s="54"/>
      <c r="C19" s="58" t="s">
        <v>676</v>
      </c>
      <c r="D19" s="58"/>
      <c r="E19" s="58"/>
      <c r="F19" s="54"/>
      <c r="G19" s="193">
        <v>17555.79</v>
      </c>
      <c r="H19" s="193">
        <f>20562.6+10000</f>
        <v>30562.6</v>
      </c>
      <c r="I19" s="193"/>
      <c r="J19" s="193">
        <v>0</v>
      </c>
      <c r="K19" s="304"/>
      <c r="L19" s="225">
        <f t="shared" si="0"/>
        <v>17555.79</v>
      </c>
      <c r="M19" s="354"/>
      <c r="N19" s="427"/>
      <c r="O19" s="577"/>
      <c r="Q19" s="204"/>
    </row>
    <row r="20" spans="1:17" s="55" customFormat="1" ht="20.25" x14ac:dyDescent="0.2">
      <c r="A20" s="54"/>
      <c r="B20" s="54"/>
      <c r="C20" s="58" t="s">
        <v>160</v>
      </c>
      <c r="D20" s="58"/>
      <c r="E20" s="58"/>
      <c r="F20" s="54"/>
      <c r="G20" s="193">
        <v>150</v>
      </c>
      <c r="H20" s="193">
        <v>522.52</v>
      </c>
      <c r="I20" s="193"/>
      <c r="J20" s="193">
        <v>197.52</v>
      </c>
      <c r="K20" s="304"/>
      <c r="L20" s="225">
        <f t="shared" si="0"/>
        <v>-47.52000000000001</v>
      </c>
      <c r="M20" s="354">
        <f t="shared" ref="M20:M29" si="1">L20/J20</f>
        <v>-0.2405832320777643</v>
      </c>
      <c r="N20" s="427"/>
      <c r="O20" s="577"/>
      <c r="Q20" s="204"/>
    </row>
    <row r="21" spans="1:17" s="55" customFormat="1" ht="20.25" x14ac:dyDescent="0.2">
      <c r="A21" s="54"/>
      <c r="B21" s="54"/>
      <c r="C21" s="58" t="s">
        <v>109</v>
      </c>
      <c r="D21" s="58"/>
      <c r="E21" s="58"/>
      <c r="F21" s="54"/>
      <c r="G21" s="193">
        <v>246.14</v>
      </c>
      <c r="H21" s="193">
        <v>499.51</v>
      </c>
      <c r="I21" s="193"/>
      <c r="J21" s="193">
        <v>150.21</v>
      </c>
      <c r="K21" s="304"/>
      <c r="L21" s="225">
        <f t="shared" si="0"/>
        <v>95.929999999999978</v>
      </c>
      <c r="M21" s="354">
        <f t="shared" si="1"/>
        <v>0.63863923839957371</v>
      </c>
      <c r="N21" s="426"/>
      <c r="O21" s="577"/>
    </row>
    <row r="22" spans="1:17" s="55" customFormat="1" ht="20.25" x14ac:dyDescent="0.2">
      <c r="A22" s="54"/>
      <c r="B22" s="54"/>
      <c r="C22" s="58" t="s">
        <v>236</v>
      </c>
      <c r="D22" s="58"/>
      <c r="E22" s="58"/>
      <c r="F22" s="54"/>
      <c r="G22" s="193">
        <v>1989.03</v>
      </c>
      <c r="H22" s="193">
        <v>15382.11</v>
      </c>
      <c r="I22" s="193"/>
      <c r="J22" s="193">
        <v>-160.47</v>
      </c>
      <c r="K22" s="304"/>
      <c r="L22" s="225">
        <f t="shared" si="0"/>
        <v>2149.5</v>
      </c>
      <c r="M22" s="354">
        <f t="shared" si="1"/>
        <v>-13.39502710787063</v>
      </c>
      <c r="N22" s="426"/>
      <c r="O22" s="577"/>
      <c r="Q22" s="204"/>
    </row>
    <row r="23" spans="1:17" s="55" customFormat="1" ht="20.25" x14ac:dyDescent="0.2">
      <c r="A23" s="54"/>
      <c r="B23" s="54"/>
      <c r="C23" s="58" t="s">
        <v>301</v>
      </c>
      <c r="D23" s="58"/>
      <c r="E23" s="58"/>
      <c r="F23" s="54"/>
      <c r="G23" s="193">
        <v>15381.36</v>
      </c>
      <c r="H23" s="193">
        <v>33158.35</v>
      </c>
      <c r="I23" s="193"/>
      <c r="J23" s="193">
        <v>15608.22</v>
      </c>
      <c r="K23" s="304"/>
      <c r="L23" s="225">
        <f t="shared" si="0"/>
        <v>-226.85999999999876</v>
      </c>
      <c r="M23" s="354">
        <f t="shared" si="1"/>
        <v>-1.4534649050308029E-2</v>
      </c>
      <c r="N23" s="426"/>
      <c r="O23" s="577"/>
    </row>
    <row r="24" spans="1:17" s="55" customFormat="1" ht="20.25" x14ac:dyDescent="0.2">
      <c r="A24" s="54"/>
      <c r="B24" s="54"/>
      <c r="C24" s="58" t="s">
        <v>444</v>
      </c>
      <c r="D24" s="58"/>
      <c r="E24" s="58"/>
      <c r="F24" s="54"/>
      <c r="G24" s="193">
        <v>111577.41</v>
      </c>
      <c r="H24" s="193">
        <f>245618.21-10000</f>
        <v>235618.21</v>
      </c>
      <c r="I24" s="193"/>
      <c r="J24" s="193">
        <v>37207.61</v>
      </c>
      <c r="K24" s="304"/>
      <c r="L24" s="225">
        <f t="shared" si="0"/>
        <v>74369.8</v>
      </c>
      <c r="M24" s="354">
        <f t="shared" si="1"/>
        <v>1.9987792819802186</v>
      </c>
      <c r="N24" s="426" t="s">
        <v>677</v>
      </c>
      <c r="O24" s="577"/>
      <c r="Q24" s="204"/>
    </row>
    <row r="25" spans="1:17" s="55" customFormat="1" ht="20.25" x14ac:dyDescent="0.2">
      <c r="A25" s="54"/>
      <c r="B25" s="54"/>
      <c r="C25" s="58" t="s">
        <v>144</v>
      </c>
      <c r="D25" s="58"/>
      <c r="E25" s="58"/>
      <c r="F25" s="54"/>
      <c r="G25" s="193">
        <v>2315.17</v>
      </c>
      <c r="H25" s="193">
        <v>11462.1</v>
      </c>
      <c r="I25" s="193"/>
      <c r="J25" s="193">
        <v>5829.81</v>
      </c>
      <c r="K25" s="304"/>
      <c r="L25" s="225">
        <f t="shared" si="0"/>
        <v>-3514.6400000000003</v>
      </c>
      <c r="M25" s="354">
        <f t="shared" si="1"/>
        <v>-0.60287385009116934</v>
      </c>
      <c r="N25" s="501"/>
      <c r="O25" s="577"/>
      <c r="Q25" s="204"/>
    </row>
    <row r="26" spans="1:17" s="55" customFormat="1" ht="21" thickBot="1" x14ac:dyDescent="0.25">
      <c r="A26" s="54"/>
      <c r="B26" s="54"/>
      <c r="C26" s="58" t="s">
        <v>108</v>
      </c>
      <c r="D26" s="58"/>
      <c r="E26" s="58"/>
      <c r="F26" s="54"/>
      <c r="G26" s="200">
        <v>17580</v>
      </c>
      <c r="H26" s="200">
        <v>52740</v>
      </c>
      <c r="I26" s="193"/>
      <c r="J26" s="200">
        <f>G26</f>
        <v>17580</v>
      </c>
      <c r="K26" s="304"/>
      <c r="L26" s="316">
        <f t="shared" si="0"/>
        <v>0</v>
      </c>
      <c r="M26" s="380">
        <f t="shared" si="1"/>
        <v>0</v>
      </c>
      <c r="N26" s="426"/>
      <c r="O26" s="577"/>
    </row>
    <row r="27" spans="1:17" s="55" customFormat="1" ht="20.25" x14ac:dyDescent="0.2">
      <c r="A27" s="54"/>
      <c r="B27" s="54"/>
      <c r="C27" s="58"/>
      <c r="D27" s="54" t="s">
        <v>104</v>
      </c>
      <c r="E27" s="58"/>
      <c r="F27" s="54"/>
      <c r="G27" s="193">
        <f>SUM(G9:G26)</f>
        <v>513649.24999999994</v>
      </c>
      <c r="H27" s="193">
        <f>SUM(H9:H26)</f>
        <v>1542625.1400000004</v>
      </c>
      <c r="I27" s="193"/>
      <c r="J27" s="193">
        <f>SUM(J9:J26)</f>
        <v>492092.60000000009</v>
      </c>
      <c r="K27" s="304"/>
      <c r="L27" s="193">
        <f t="shared" si="0"/>
        <v>21556.649999999849</v>
      </c>
      <c r="M27" s="354">
        <f t="shared" si="1"/>
        <v>4.3806084464590292E-2</v>
      </c>
      <c r="N27" s="426"/>
      <c r="O27" s="577"/>
    </row>
    <row r="28" spans="1:17" s="55" customFormat="1" ht="21" thickBot="1" x14ac:dyDescent="0.25">
      <c r="A28" s="54"/>
      <c r="B28" s="54"/>
      <c r="C28" s="54" t="s">
        <v>105</v>
      </c>
      <c r="D28" s="58"/>
      <c r="E28" s="58"/>
      <c r="F28" s="54"/>
      <c r="G28" s="200">
        <v>27712.41</v>
      </c>
      <c r="H28" s="200">
        <v>134785.4</v>
      </c>
      <c r="I28" s="193"/>
      <c r="J28" s="200">
        <v>45403.97</v>
      </c>
      <c r="K28" s="304"/>
      <c r="L28" s="200">
        <f t="shared" si="0"/>
        <v>-17691.560000000001</v>
      </c>
      <c r="M28" s="380">
        <f t="shared" si="1"/>
        <v>-0.389647865594132</v>
      </c>
      <c r="N28" s="427"/>
      <c r="O28" s="577"/>
      <c r="Q28" s="285"/>
    </row>
    <row r="29" spans="1:17" s="55" customFormat="1" ht="20.25" x14ac:dyDescent="0.2">
      <c r="A29" s="54"/>
      <c r="B29" s="54"/>
      <c r="C29" s="58"/>
      <c r="D29" s="54" t="s">
        <v>106</v>
      </c>
      <c r="E29" s="58"/>
      <c r="F29" s="54"/>
      <c r="G29" s="193">
        <f>SUM(G27:G28)</f>
        <v>541361.65999999992</v>
      </c>
      <c r="H29" s="193">
        <f>SUM(H27:H28)</f>
        <v>1677410.5400000003</v>
      </c>
      <c r="I29" s="193"/>
      <c r="J29" s="193">
        <f>SUM(J27:J28)</f>
        <v>537496.57000000007</v>
      </c>
      <c r="K29" s="204"/>
      <c r="L29" s="193">
        <f>SUM(L27:L28)</f>
        <v>3865.0899999998474</v>
      </c>
      <c r="M29" s="354">
        <f t="shared" si="1"/>
        <v>7.1909110043248221E-3</v>
      </c>
      <c r="N29" s="427"/>
      <c r="O29" s="577"/>
      <c r="Q29" s="285"/>
    </row>
    <row r="30" spans="1:17" s="55" customFormat="1" ht="6" customHeight="1" x14ac:dyDescent="0.2">
      <c r="A30" s="54"/>
      <c r="B30" s="54"/>
      <c r="C30" s="58"/>
      <c r="D30" s="54"/>
      <c r="E30" s="58"/>
      <c r="F30" s="54"/>
      <c r="G30" s="193"/>
      <c r="H30" s="193"/>
      <c r="I30" s="193"/>
      <c r="J30" s="193"/>
      <c r="K30" s="304"/>
      <c r="L30" s="324"/>
      <c r="M30" s="413"/>
      <c r="N30" s="426"/>
      <c r="O30" s="577"/>
    </row>
    <row r="31" spans="1:17" s="55" customFormat="1" ht="21" thickBot="1" x14ac:dyDescent="0.25">
      <c r="A31" s="54"/>
      <c r="B31" s="66" t="s">
        <v>110</v>
      </c>
      <c r="C31" s="66"/>
      <c r="D31" s="66"/>
      <c r="E31" s="66"/>
      <c r="F31" s="66"/>
      <c r="G31" s="200"/>
      <c r="H31" s="200"/>
      <c r="J31" s="200"/>
      <c r="K31" s="304"/>
      <c r="L31" s="324"/>
      <c r="M31" s="413"/>
      <c r="N31" s="427"/>
      <c r="O31" s="577"/>
    </row>
    <row r="32" spans="1:17" s="55" customFormat="1" ht="20.25" x14ac:dyDescent="0.2">
      <c r="A32" s="54"/>
      <c r="B32" s="54"/>
      <c r="C32" s="58" t="s">
        <v>111</v>
      </c>
      <c r="D32" s="58"/>
      <c r="E32" s="58"/>
      <c r="F32" s="58"/>
      <c r="G32" s="193">
        <v>282092.46000000002</v>
      </c>
      <c r="H32" s="193">
        <v>934379.17</v>
      </c>
      <c r="I32" s="225"/>
      <c r="J32" s="193">
        <v>326158.5</v>
      </c>
      <c r="K32" s="304"/>
      <c r="L32" s="225">
        <f t="shared" ref="L32:L54" si="2">G32-J32</f>
        <v>-44066.039999999979</v>
      </c>
      <c r="M32" s="354">
        <f t="shared" ref="M32:M43" si="3">L32/J32</f>
        <v>-0.13510621369671488</v>
      </c>
      <c r="N32" s="427" t="s">
        <v>689</v>
      </c>
      <c r="O32" s="577"/>
    </row>
    <row r="33" spans="1:16" s="55" customFormat="1" ht="20.25" x14ac:dyDescent="0.2">
      <c r="A33" s="54"/>
      <c r="B33" s="54"/>
      <c r="C33" s="58" t="s">
        <v>112</v>
      </c>
      <c r="D33" s="58"/>
      <c r="E33" s="58"/>
      <c r="F33" s="58"/>
      <c r="G33" s="193">
        <v>63777.24</v>
      </c>
      <c r="H33" s="193">
        <v>185846.07</v>
      </c>
      <c r="I33" s="225"/>
      <c r="J33" s="193">
        <v>67390.44</v>
      </c>
      <c r="K33" s="304"/>
      <c r="L33" s="225">
        <f t="shared" si="2"/>
        <v>-3613.2000000000044</v>
      </c>
      <c r="M33" s="354">
        <f t="shared" si="3"/>
        <v>-5.361591347378062E-2</v>
      </c>
      <c r="N33" s="427"/>
      <c r="O33" s="577"/>
    </row>
    <row r="34" spans="1:16" s="55" customFormat="1" ht="20.25" x14ac:dyDescent="0.2">
      <c r="A34" s="54"/>
      <c r="B34" s="54"/>
      <c r="C34" s="58" t="s">
        <v>113</v>
      </c>
      <c r="D34" s="58"/>
      <c r="E34" s="58"/>
      <c r="F34" s="58"/>
      <c r="G34" s="193">
        <f>150*4</f>
        <v>600</v>
      </c>
      <c r="H34" s="193">
        <f>150*12</f>
        <v>1800</v>
      </c>
      <c r="I34" s="225"/>
      <c r="J34" s="193">
        <f>G34</f>
        <v>600</v>
      </c>
      <c r="K34" s="304"/>
      <c r="L34" s="225">
        <f t="shared" si="2"/>
        <v>0</v>
      </c>
      <c r="M34" s="354">
        <f t="shared" si="3"/>
        <v>0</v>
      </c>
      <c r="N34" s="426"/>
      <c r="O34" s="577"/>
    </row>
    <row r="35" spans="1:16" s="55" customFormat="1" ht="20.25" x14ac:dyDescent="0.2">
      <c r="A35" s="54"/>
      <c r="B35" s="54"/>
      <c r="C35" s="58" t="s">
        <v>103</v>
      </c>
      <c r="D35" s="58"/>
      <c r="E35" s="58"/>
      <c r="F35" s="58"/>
      <c r="G35" s="193">
        <f>G26</f>
        <v>17580</v>
      </c>
      <c r="H35" s="193">
        <f>H26</f>
        <v>52740</v>
      </c>
      <c r="I35" s="225"/>
      <c r="J35" s="193">
        <f>J26</f>
        <v>17580</v>
      </c>
      <c r="K35" s="304"/>
      <c r="L35" s="225">
        <f t="shared" si="2"/>
        <v>0</v>
      </c>
      <c r="M35" s="354">
        <f t="shared" si="3"/>
        <v>0</v>
      </c>
      <c r="N35" s="426"/>
      <c r="O35" s="577"/>
    </row>
    <row r="36" spans="1:16" s="55" customFormat="1" ht="20.25" x14ac:dyDescent="0.2">
      <c r="A36" s="54"/>
      <c r="B36" s="54"/>
      <c r="C36" s="58" t="s">
        <v>114</v>
      </c>
      <c r="D36" s="58"/>
      <c r="E36" s="58"/>
      <c r="F36" s="58"/>
      <c r="G36" s="193">
        <v>6910.48</v>
      </c>
      <c r="H36" s="193">
        <v>19611.759999999998</v>
      </c>
      <c r="I36" s="225"/>
      <c r="J36" s="193">
        <v>6758.43</v>
      </c>
      <c r="K36" s="304"/>
      <c r="L36" s="225">
        <f t="shared" si="2"/>
        <v>152.04999999999927</v>
      </c>
      <c r="M36" s="354">
        <f t="shared" si="3"/>
        <v>2.2497828637716048E-2</v>
      </c>
      <c r="N36" s="426"/>
      <c r="O36" s="577"/>
    </row>
    <row r="37" spans="1:16" s="55" customFormat="1" ht="20.25" x14ac:dyDescent="0.2">
      <c r="A37" s="54"/>
      <c r="B37" s="54"/>
      <c r="C37" s="58" t="s">
        <v>115</v>
      </c>
      <c r="D37" s="58"/>
      <c r="E37" s="58"/>
      <c r="F37" s="58"/>
      <c r="G37" s="193">
        <v>860.2</v>
      </c>
      <c r="H37" s="193">
        <v>3399.22</v>
      </c>
      <c r="I37" s="225"/>
      <c r="J37" s="193">
        <v>1040.81</v>
      </c>
      <c r="K37" s="304"/>
      <c r="L37" s="225">
        <f t="shared" si="2"/>
        <v>-180.6099999999999</v>
      </c>
      <c r="M37" s="354">
        <f t="shared" si="3"/>
        <v>-0.17352830968188229</v>
      </c>
      <c r="N37" s="426"/>
      <c r="O37" s="577"/>
    </row>
    <row r="38" spans="1:16" s="55" customFormat="1" ht="20.25" x14ac:dyDescent="0.2">
      <c r="A38" s="54"/>
      <c r="B38" s="54"/>
      <c r="C38" s="58" t="s">
        <v>116</v>
      </c>
      <c r="D38" s="58"/>
      <c r="E38" s="58"/>
      <c r="F38" s="58"/>
      <c r="G38" s="193">
        <v>1354.37</v>
      </c>
      <c r="H38" s="193">
        <v>5676.69</v>
      </c>
      <c r="I38" s="225"/>
      <c r="J38" s="193">
        <v>1676.43</v>
      </c>
      <c r="K38" s="304"/>
      <c r="L38" s="225">
        <f t="shared" si="2"/>
        <v>-322.06000000000017</v>
      </c>
      <c r="M38" s="354">
        <f t="shared" si="3"/>
        <v>-0.19211061601140528</v>
      </c>
      <c r="N38" s="426"/>
      <c r="O38" s="577"/>
    </row>
    <row r="39" spans="1:16" s="55" customFormat="1" ht="20.25" x14ac:dyDescent="0.2">
      <c r="A39" s="54"/>
      <c r="B39" s="54"/>
      <c r="C39" s="58" t="s">
        <v>117</v>
      </c>
      <c r="D39" s="58"/>
      <c r="E39" s="58"/>
      <c r="F39" s="58"/>
      <c r="G39" s="193">
        <v>60</v>
      </c>
      <c r="H39" s="193">
        <v>7663.45</v>
      </c>
      <c r="I39" s="225"/>
      <c r="J39" s="193">
        <v>4021.51</v>
      </c>
      <c r="K39" s="304"/>
      <c r="L39" s="225">
        <f t="shared" si="2"/>
        <v>-3961.51</v>
      </c>
      <c r="M39" s="354">
        <f t="shared" si="3"/>
        <v>-0.98508023105748832</v>
      </c>
      <c r="N39" s="426" t="s">
        <v>690</v>
      </c>
      <c r="O39" s="577"/>
    </row>
    <row r="40" spans="1:16" s="55" customFormat="1" ht="20.25" x14ac:dyDescent="0.2">
      <c r="A40" s="54"/>
      <c r="B40" s="54"/>
      <c r="C40" s="58" t="s">
        <v>118</v>
      </c>
      <c r="D40" s="58"/>
      <c r="E40" s="58"/>
      <c r="F40" s="58"/>
      <c r="G40" s="193">
        <f>5467.47+3316.25</f>
        <v>8783.7200000000012</v>
      </c>
      <c r="H40" s="193">
        <f>32706.83+20164.03</f>
        <v>52870.86</v>
      </c>
      <c r="I40" s="225"/>
      <c r="J40" s="193">
        <f>10774.09+4677.37</f>
        <v>15451.46</v>
      </c>
      <c r="K40" s="304"/>
      <c r="L40" s="225">
        <f t="shared" si="2"/>
        <v>-6667.739999999998</v>
      </c>
      <c r="M40" s="354">
        <f t="shared" si="3"/>
        <v>-0.4315281533266111</v>
      </c>
      <c r="N40" s="426" t="s">
        <v>691</v>
      </c>
      <c r="O40" s="577"/>
    </row>
    <row r="41" spans="1:16" s="55" customFormat="1" ht="20.25" x14ac:dyDescent="0.2">
      <c r="A41" s="54"/>
      <c r="B41" s="54"/>
      <c r="C41" s="58" t="s">
        <v>119</v>
      </c>
      <c r="D41" s="58"/>
      <c r="E41" s="58"/>
      <c r="F41" s="58"/>
      <c r="G41" s="193">
        <v>1420.03</v>
      </c>
      <c r="H41" s="193">
        <v>5933.27</v>
      </c>
      <c r="I41" s="225"/>
      <c r="J41" s="193">
        <v>1501.4</v>
      </c>
      <c r="K41" s="304"/>
      <c r="L41" s="225">
        <f t="shared" si="2"/>
        <v>-81.370000000000118</v>
      </c>
      <c r="M41" s="354">
        <f t="shared" si="3"/>
        <v>-5.4196083655255169E-2</v>
      </c>
      <c r="N41" s="426"/>
      <c r="O41" s="577"/>
    </row>
    <row r="42" spans="1:16" s="55" customFormat="1" ht="20.25" x14ac:dyDescent="0.2">
      <c r="A42" s="54"/>
      <c r="B42" s="54"/>
      <c r="C42" s="58" t="s">
        <v>120</v>
      </c>
      <c r="D42" s="58"/>
      <c r="E42" s="58"/>
      <c r="F42" s="58"/>
      <c r="G42" s="193">
        <v>283</v>
      </c>
      <c r="H42" s="193">
        <v>1318.06</v>
      </c>
      <c r="I42" s="225"/>
      <c r="J42" s="193">
        <v>401.36</v>
      </c>
      <c r="K42" s="304"/>
      <c r="L42" s="225">
        <f t="shared" si="2"/>
        <v>-118.36000000000001</v>
      </c>
      <c r="M42" s="354">
        <f t="shared" si="3"/>
        <v>-0.29489734901335463</v>
      </c>
      <c r="N42" s="426"/>
      <c r="O42" s="577"/>
    </row>
    <row r="43" spans="1:16" s="55" customFormat="1" ht="20.25" x14ac:dyDescent="0.2">
      <c r="A43" s="54"/>
      <c r="B43" s="54"/>
      <c r="C43" s="58" t="s">
        <v>165</v>
      </c>
      <c r="D43" s="58"/>
      <c r="E43" s="58"/>
      <c r="F43" s="58"/>
      <c r="G43" s="193">
        <v>16500</v>
      </c>
      <c r="H43" s="193">
        <v>7675</v>
      </c>
      <c r="I43" s="225"/>
      <c r="J43" s="193">
        <v>7050</v>
      </c>
      <c r="K43" s="304"/>
      <c r="L43" s="225">
        <f t="shared" si="2"/>
        <v>9450</v>
      </c>
      <c r="M43" s="354">
        <f t="shared" si="3"/>
        <v>1.3404255319148937</v>
      </c>
      <c r="N43" s="426"/>
      <c r="O43" s="577"/>
    </row>
    <row r="44" spans="1:16" s="55" customFormat="1" ht="20.25" x14ac:dyDescent="0.2">
      <c r="A44" s="54"/>
      <c r="B44" s="54"/>
      <c r="C44" s="789" t="s">
        <v>322</v>
      </c>
      <c r="D44" s="789"/>
      <c r="E44" s="789"/>
      <c r="F44" s="789"/>
      <c r="G44" s="193">
        <v>0</v>
      </c>
      <c r="H44" s="193">
        <v>409.5</v>
      </c>
      <c r="I44" s="225"/>
      <c r="J44" s="193">
        <v>0</v>
      </c>
      <c r="K44" s="304"/>
      <c r="L44" s="225">
        <f t="shared" si="2"/>
        <v>0</v>
      </c>
      <c r="M44" s="354">
        <v>1</v>
      </c>
      <c r="N44" s="426"/>
      <c r="O44" s="577"/>
    </row>
    <row r="45" spans="1:16" s="55" customFormat="1" ht="20.25" x14ac:dyDescent="0.2">
      <c r="A45" s="58"/>
      <c r="B45" s="58"/>
      <c r="C45" s="58" t="s">
        <v>121</v>
      </c>
      <c r="D45" s="58"/>
      <c r="E45" s="58"/>
      <c r="F45" s="58"/>
      <c r="G45" s="193">
        <v>10796.55</v>
      </c>
      <c r="H45" s="193">
        <f>31493.57</f>
        <v>31493.57</v>
      </c>
      <c r="I45" s="226"/>
      <c r="J45" s="193">
        <v>12538.85</v>
      </c>
      <c r="K45" s="304"/>
      <c r="L45" s="225">
        <f t="shared" si="2"/>
        <v>-1742.3000000000011</v>
      </c>
      <c r="M45" s="354">
        <f t="shared" ref="M45:M54" si="4">L45/J45</f>
        <v>-0.13895213675895327</v>
      </c>
      <c r="N45" s="426"/>
      <c r="O45" s="577"/>
    </row>
    <row r="46" spans="1:16" s="55" customFormat="1" ht="20.25" x14ac:dyDescent="0.2">
      <c r="A46" s="58"/>
      <c r="B46" s="58"/>
      <c r="C46" s="58" t="s">
        <v>122</v>
      </c>
      <c r="D46" s="58"/>
      <c r="E46" s="58"/>
      <c r="F46" s="58"/>
      <c r="G46" s="193">
        <v>8844.4</v>
      </c>
      <c r="H46" s="193">
        <f>23357.61</f>
        <v>23357.61</v>
      </c>
      <c r="I46" s="193"/>
      <c r="J46" s="193">
        <v>7113.3</v>
      </c>
      <c r="K46" s="304"/>
      <c r="L46" s="225">
        <f t="shared" si="2"/>
        <v>1731.0999999999995</v>
      </c>
      <c r="M46" s="354">
        <f t="shared" si="4"/>
        <v>0.2433610279335891</v>
      </c>
      <c r="N46" s="428"/>
      <c r="O46" s="577"/>
    </row>
    <row r="47" spans="1:16" s="55" customFormat="1" ht="20.25" x14ac:dyDescent="0.2">
      <c r="A47" s="58"/>
      <c r="B47" s="58"/>
      <c r="C47" s="58" t="s">
        <v>129</v>
      </c>
      <c r="D47" s="58"/>
      <c r="E47" s="58"/>
      <c r="F47" s="58"/>
      <c r="G47" s="193">
        <v>348.5</v>
      </c>
      <c r="H47" s="193">
        <f>210+92.65</f>
        <v>302.64999999999998</v>
      </c>
      <c r="I47" s="193"/>
      <c r="J47" s="193">
        <v>185</v>
      </c>
      <c r="K47" s="304"/>
      <c r="L47" s="225">
        <f t="shared" si="2"/>
        <v>163.5</v>
      </c>
      <c r="M47" s="354">
        <f t="shared" si="4"/>
        <v>0.88378378378378375</v>
      </c>
      <c r="O47" s="577"/>
      <c r="P47" s="204"/>
    </row>
    <row r="48" spans="1:16" s="55" customFormat="1" ht="20.25" x14ac:dyDescent="0.2">
      <c r="A48" s="58"/>
      <c r="B48" s="58"/>
      <c r="C48" s="58" t="s">
        <v>123</v>
      </c>
      <c r="D48" s="58"/>
      <c r="E48" s="58"/>
      <c r="F48" s="58"/>
      <c r="G48" s="193">
        <v>22.29</v>
      </c>
      <c r="H48" s="193">
        <f>6568.01+3012.83</f>
        <v>9580.84</v>
      </c>
      <c r="I48" s="193"/>
      <c r="J48" s="193">
        <v>552.98</v>
      </c>
      <c r="K48" s="304"/>
      <c r="L48" s="225">
        <f t="shared" si="2"/>
        <v>-530.69000000000005</v>
      </c>
      <c r="M48" s="354">
        <f t="shared" si="4"/>
        <v>-0.95969112806973134</v>
      </c>
      <c r="N48" s="426"/>
      <c r="O48" s="577"/>
      <c r="P48" s="204"/>
    </row>
    <row r="49" spans="1:18" s="55" customFormat="1" ht="20.25" x14ac:dyDescent="0.2">
      <c r="A49" s="54"/>
      <c r="B49" s="54"/>
      <c r="C49" s="58" t="s">
        <v>198</v>
      </c>
      <c r="D49" s="58"/>
      <c r="E49" s="58"/>
      <c r="F49" s="58"/>
      <c r="G49" s="193">
        <v>1531.56</v>
      </c>
      <c r="H49" s="193">
        <f>7427.13</f>
        <v>7427.13</v>
      </c>
      <c r="I49" s="193"/>
      <c r="J49" s="193">
        <v>2415.87</v>
      </c>
      <c r="K49" s="304"/>
      <c r="L49" s="225">
        <f t="shared" si="2"/>
        <v>-884.31</v>
      </c>
      <c r="M49" s="354">
        <f t="shared" si="4"/>
        <v>-0.36604204696444759</v>
      </c>
      <c r="N49" s="426"/>
      <c r="O49" s="577"/>
    </row>
    <row r="50" spans="1:18" s="55" customFormat="1" ht="20.25" x14ac:dyDescent="0.2">
      <c r="A50" s="58"/>
      <c r="B50" s="58"/>
      <c r="C50" s="58" t="s">
        <v>464</v>
      </c>
      <c r="D50" s="58"/>
      <c r="E50" s="58"/>
      <c r="F50" s="58"/>
      <c r="G50" s="193">
        <f>5680*2</f>
        <v>11360</v>
      </c>
      <c r="H50" s="193">
        <v>35077</v>
      </c>
      <c r="I50" s="193"/>
      <c r="J50" s="193">
        <v>11359</v>
      </c>
      <c r="K50" s="304"/>
      <c r="L50" s="225">
        <f t="shared" si="2"/>
        <v>1</v>
      </c>
      <c r="M50" s="354">
        <f t="shared" si="4"/>
        <v>8.8035918654811164E-5</v>
      </c>
      <c r="N50" s="428"/>
      <c r="O50" s="577"/>
    </row>
    <row r="51" spans="1:18" s="55" customFormat="1" ht="20.25" x14ac:dyDescent="0.2">
      <c r="A51" s="58"/>
      <c r="B51" s="58"/>
      <c r="C51" s="58" t="s">
        <v>125</v>
      </c>
      <c r="D51" s="58"/>
      <c r="E51" s="58"/>
      <c r="F51" s="58"/>
      <c r="G51" s="193">
        <f>17.65+22113.57</f>
        <v>22131.22</v>
      </c>
      <c r="H51" s="193">
        <f>2150+33774.13</f>
        <v>35924.129999999997</v>
      </c>
      <c r="I51" s="193"/>
      <c r="J51" s="193">
        <v>8742.7900000000009</v>
      </c>
      <c r="K51" s="304"/>
      <c r="L51" s="225">
        <f t="shared" si="2"/>
        <v>13388.43</v>
      </c>
      <c r="M51" s="354">
        <f t="shared" si="4"/>
        <v>1.5313681330559237</v>
      </c>
      <c r="N51" s="426" t="s">
        <v>692</v>
      </c>
      <c r="O51" s="577"/>
    </row>
    <row r="52" spans="1:18" s="55" customFormat="1" ht="20.25" x14ac:dyDescent="0.2">
      <c r="A52" s="58"/>
      <c r="B52" s="58"/>
      <c r="C52" s="58" t="s">
        <v>164</v>
      </c>
      <c r="D52" s="58"/>
      <c r="E52" s="58"/>
      <c r="F52" s="58"/>
      <c r="G52" s="193">
        <v>22642.94</v>
      </c>
      <c r="H52" s="193">
        <f>60609.96</f>
        <v>60609.96</v>
      </c>
      <c r="I52" s="193"/>
      <c r="J52" s="193">
        <v>21875.49</v>
      </c>
      <c r="K52" s="304"/>
      <c r="L52" s="225">
        <f t="shared" si="2"/>
        <v>767.44999999999709</v>
      </c>
      <c r="M52" s="354">
        <f t="shared" si="4"/>
        <v>3.5082642720231504E-2</v>
      </c>
      <c r="O52" s="577"/>
    </row>
    <row r="53" spans="1:18" s="55" customFormat="1" ht="20.25" x14ac:dyDescent="0.2">
      <c r="A53" s="58"/>
      <c r="B53" s="58"/>
      <c r="C53" s="58" t="s">
        <v>126</v>
      </c>
      <c r="D53" s="58"/>
      <c r="E53" s="58"/>
      <c r="F53" s="58"/>
      <c r="G53" s="193">
        <f>19735.5+2150.4</f>
        <v>21885.9</v>
      </c>
      <c r="H53" s="193">
        <f>52356.19+14824.15</f>
        <v>67180.34</v>
      </c>
      <c r="I53" s="193"/>
      <c r="J53" s="193">
        <f>28371+5852.24</f>
        <v>34223.24</v>
      </c>
      <c r="K53" s="304"/>
      <c r="L53" s="225">
        <f t="shared" si="2"/>
        <v>-12337.339999999997</v>
      </c>
      <c r="M53" s="354">
        <f t="shared" si="4"/>
        <v>-0.36049596706799231</v>
      </c>
      <c r="N53" s="426" t="s">
        <v>693</v>
      </c>
      <c r="O53" s="577"/>
    </row>
    <row r="54" spans="1:18" s="55" customFormat="1" ht="21" thickBot="1" x14ac:dyDescent="0.25">
      <c r="A54" s="58"/>
      <c r="B54" s="58"/>
      <c r="C54" s="58" t="s">
        <v>465</v>
      </c>
      <c r="D54" s="58"/>
      <c r="E54" s="58"/>
      <c r="F54" s="58"/>
      <c r="G54" s="200">
        <v>2400</v>
      </c>
      <c r="H54" s="200">
        <f>4451+11.19</f>
        <v>4462.1899999999996</v>
      </c>
      <c r="I54" s="193"/>
      <c r="J54" s="200">
        <f>350-8.81</f>
        <v>341.19</v>
      </c>
      <c r="K54" s="304"/>
      <c r="L54" s="316">
        <f t="shared" si="2"/>
        <v>2058.81</v>
      </c>
      <c r="M54" s="380">
        <f t="shared" si="4"/>
        <v>6.0342038160555704</v>
      </c>
      <c r="N54" s="426"/>
      <c r="O54" s="577"/>
    </row>
    <row r="55" spans="1:18" s="55" customFormat="1" ht="21" hidden="1" thickBot="1" x14ac:dyDescent="0.25">
      <c r="A55" s="58"/>
      <c r="B55" s="58"/>
      <c r="C55" s="58"/>
      <c r="D55" s="58"/>
      <c r="E55" s="58"/>
      <c r="F55" s="58"/>
      <c r="G55" s="200"/>
      <c r="H55" s="200"/>
      <c r="I55" s="193"/>
      <c r="J55" s="200"/>
      <c r="K55" s="304"/>
      <c r="L55" s="316"/>
      <c r="M55" s="380"/>
      <c r="N55" s="426"/>
      <c r="O55" s="577"/>
    </row>
    <row r="56" spans="1:18" s="55" customFormat="1" ht="20.25" x14ac:dyDescent="0.2">
      <c r="A56" s="54"/>
      <c r="B56" s="54"/>
      <c r="C56" s="54"/>
      <c r="D56" s="54" t="s">
        <v>127</v>
      </c>
      <c r="E56" s="54"/>
      <c r="F56" s="54"/>
      <c r="G56" s="196">
        <f>SUM(G32:G54)</f>
        <v>502184.86000000004</v>
      </c>
      <c r="H56" s="196">
        <f>SUM(H32:H54)</f>
        <v>1554738.47</v>
      </c>
      <c r="I56" s="193"/>
      <c r="J56" s="196">
        <f>SUM(J32:J54)</f>
        <v>548978.04999999993</v>
      </c>
      <c r="K56" s="304"/>
      <c r="L56" s="193">
        <f>SUM(L32:L54)</f>
        <v>-46793.189999999995</v>
      </c>
      <c r="M56" s="354">
        <f>L56/J56</f>
        <v>-8.5236905191382425E-2</v>
      </c>
      <c r="N56" s="429"/>
      <c r="O56" s="577"/>
    </row>
    <row r="57" spans="1:18" s="55" customFormat="1" ht="10.5" customHeight="1" thickBot="1" x14ac:dyDescent="0.25">
      <c r="A57" s="54"/>
      <c r="B57" s="54"/>
      <c r="C57" s="54"/>
      <c r="D57" s="54"/>
      <c r="E57" s="54"/>
      <c r="F57" s="54"/>
      <c r="G57" s="200"/>
      <c r="H57" s="200"/>
      <c r="I57" s="193"/>
      <c r="J57" s="200"/>
      <c r="K57" s="304"/>
      <c r="L57" s="326"/>
      <c r="M57" s="414"/>
      <c r="N57" s="429"/>
      <c r="O57" s="577"/>
    </row>
    <row r="58" spans="1:18" s="55" customFormat="1" ht="21" thickBot="1" x14ac:dyDescent="0.25">
      <c r="A58" s="54"/>
      <c r="B58" s="54"/>
      <c r="C58" s="54"/>
      <c r="D58" s="54" t="s">
        <v>128</v>
      </c>
      <c r="E58" s="54"/>
      <c r="F58" s="54"/>
      <c r="G58" s="200">
        <f>G29-G56</f>
        <v>39176.799999999872</v>
      </c>
      <c r="H58" s="200">
        <f>H29-H56</f>
        <v>122672.0700000003</v>
      </c>
      <c r="I58" s="193"/>
      <c r="J58" s="200">
        <f>J29-J56</f>
        <v>-11481.479999999865</v>
      </c>
      <c r="K58" s="304"/>
      <c r="L58" s="200">
        <f>L29-L56</f>
        <v>50658.279999999839</v>
      </c>
      <c r="M58" s="408">
        <f>L58/J58</f>
        <v>-4.412173343506276</v>
      </c>
      <c r="N58" s="429"/>
      <c r="O58" s="577"/>
    </row>
    <row r="59" spans="1:18" s="55" customFormat="1" ht="11.25" customHeight="1" x14ac:dyDescent="0.2">
      <c r="A59" s="54"/>
      <c r="B59" s="54"/>
      <c r="C59" s="54"/>
      <c r="D59" s="54"/>
      <c r="E59" s="54"/>
      <c r="F59" s="54"/>
      <c r="G59" s="193"/>
      <c r="H59" s="193"/>
      <c r="I59" s="193"/>
      <c r="J59" s="193"/>
      <c r="K59" s="304"/>
      <c r="L59" s="324"/>
      <c r="M59" s="413"/>
      <c r="N59" s="426"/>
      <c r="O59" s="577"/>
    </row>
    <row r="60" spans="1:18" s="55" customFormat="1" ht="21" thickBot="1" x14ac:dyDescent="0.25">
      <c r="A60" s="58"/>
      <c r="B60" s="66" t="s">
        <v>332</v>
      </c>
      <c r="C60" s="66"/>
      <c r="D60" s="66"/>
      <c r="E60" s="66"/>
      <c r="F60" s="66"/>
      <c r="G60" s="538"/>
      <c r="H60" s="538"/>
      <c r="I60" s="193"/>
      <c r="J60" s="200"/>
      <c r="K60" s="304"/>
      <c r="L60" s="324"/>
      <c r="M60" s="413"/>
      <c r="N60" s="426"/>
      <c r="O60" s="577"/>
    </row>
    <row r="61" spans="1:18" s="55" customFormat="1" ht="20.25" x14ac:dyDescent="0.2">
      <c r="A61" s="58"/>
      <c r="B61" s="54"/>
      <c r="C61" s="54"/>
      <c r="D61" s="54" t="s">
        <v>140</v>
      </c>
      <c r="E61" s="54"/>
      <c r="F61" s="54"/>
      <c r="G61" s="193"/>
      <c r="H61" s="193"/>
      <c r="I61" s="193"/>
      <c r="J61" s="193"/>
      <c r="K61" s="304"/>
      <c r="L61" s="324"/>
      <c r="M61" s="413"/>
      <c r="N61" s="426"/>
      <c r="O61" s="577"/>
    </row>
    <row r="62" spans="1:18" s="55" customFormat="1" ht="20.25" x14ac:dyDescent="0.2">
      <c r="A62" s="58"/>
      <c r="B62" s="54"/>
      <c r="C62" s="54"/>
      <c r="D62" s="54"/>
      <c r="E62" s="58" t="s">
        <v>141</v>
      </c>
      <c r="F62" s="54"/>
      <c r="G62" s="193">
        <v>52000</v>
      </c>
      <c r="H62" s="193">
        <v>52000</v>
      </c>
      <c r="I62" s="193"/>
      <c r="J62" s="193">
        <v>52000</v>
      </c>
      <c r="K62" s="304"/>
      <c r="L62" s="225">
        <f t="shared" ref="L62:L65" si="5">G62-J62</f>
        <v>0</v>
      </c>
      <c r="M62" s="354">
        <f>L62/J62</f>
        <v>0</v>
      </c>
      <c r="N62" s="426"/>
      <c r="O62" s="577"/>
      <c r="R62" s="204"/>
    </row>
    <row r="63" spans="1:18" s="55" customFormat="1" ht="20.25" x14ac:dyDescent="0.2">
      <c r="A63" s="58"/>
      <c r="B63" s="54"/>
      <c r="C63" s="54"/>
      <c r="D63" s="54"/>
      <c r="E63" s="58" t="s">
        <v>168</v>
      </c>
      <c r="F63" s="54"/>
      <c r="G63" s="193">
        <v>21000</v>
      </c>
      <c r="H63" s="193">
        <v>21000</v>
      </c>
      <c r="I63" s="193"/>
      <c r="J63" s="193">
        <v>21000</v>
      </c>
      <c r="K63" s="304"/>
      <c r="L63" s="225">
        <f t="shared" si="5"/>
        <v>0</v>
      </c>
      <c r="M63" s="354">
        <f>L63/J63</f>
        <v>0</v>
      </c>
      <c r="N63" s="426"/>
      <c r="O63" s="577"/>
    </row>
    <row r="64" spans="1:18" s="55" customFormat="1" ht="20.25" x14ac:dyDescent="0.2">
      <c r="A64" s="58"/>
      <c r="B64" s="54"/>
      <c r="C64" s="54"/>
      <c r="D64" s="54"/>
      <c r="E64" s="58" t="s">
        <v>559</v>
      </c>
      <c r="F64" s="54"/>
      <c r="G64" s="193">
        <f>48963-24324</f>
        <v>24639</v>
      </c>
      <c r="H64" s="193">
        <f>14285.75+7500+1500-13092-1000</f>
        <v>9193.75</v>
      </c>
      <c r="I64" s="193"/>
      <c r="J64" s="193">
        <v>0</v>
      </c>
      <c r="K64" s="304"/>
      <c r="L64" s="225">
        <f>G64-J64</f>
        <v>24639</v>
      </c>
      <c r="M64" s="354"/>
      <c r="N64" s="426"/>
      <c r="O64" s="577"/>
    </row>
    <row r="65" spans="1:15" s="55" customFormat="1" ht="20.25" x14ac:dyDescent="0.2">
      <c r="A65" s="58"/>
      <c r="B65" s="54"/>
      <c r="C65" s="54"/>
      <c r="D65" s="54"/>
      <c r="E65" s="58" t="s">
        <v>139</v>
      </c>
      <c r="F65" s="54"/>
      <c r="G65" s="195">
        <v>0</v>
      </c>
      <c r="H65" s="195">
        <f>33.81+5000+2000</f>
        <v>7033.81</v>
      </c>
      <c r="I65" s="195"/>
      <c r="J65" s="195">
        <f>33.81</f>
        <v>33.81</v>
      </c>
      <c r="K65" s="498"/>
      <c r="L65" s="780">
        <f t="shared" si="5"/>
        <v>-33.81</v>
      </c>
      <c r="M65" s="411">
        <f>L65/J65</f>
        <v>-1</v>
      </c>
      <c r="N65" s="426"/>
      <c r="O65" s="577"/>
    </row>
    <row r="66" spans="1:15" s="55" customFormat="1" ht="21" thickBot="1" x14ac:dyDescent="0.25">
      <c r="A66" s="58"/>
      <c r="B66" s="54"/>
      <c r="C66" s="54"/>
      <c r="D66" s="54" t="s">
        <v>105</v>
      </c>
      <c r="E66" s="54"/>
      <c r="F66" s="54"/>
      <c r="G66" s="200">
        <f>-G28</f>
        <v>-27712.41</v>
      </c>
      <c r="H66" s="200">
        <f>-H28</f>
        <v>-134785.4</v>
      </c>
      <c r="I66" s="193"/>
      <c r="J66" s="200">
        <f>-J28-1000</f>
        <v>-46403.97</v>
      </c>
      <c r="K66" s="304"/>
      <c r="L66" s="316">
        <f>G66-J66</f>
        <v>18691.560000000001</v>
      </c>
      <c r="M66" s="380">
        <f>L66/J66</f>
        <v>-0.40280088104530715</v>
      </c>
      <c r="N66" s="426"/>
      <c r="O66" s="577"/>
    </row>
    <row r="67" spans="1:15" s="55" customFormat="1" ht="21" thickBot="1" x14ac:dyDescent="0.25">
      <c r="A67" s="58"/>
      <c r="B67" s="54"/>
      <c r="C67" s="54"/>
      <c r="D67" s="54"/>
      <c r="E67" s="54" t="s">
        <v>331</v>
      </c>
      <c r="F67" s="54"/>
      <c r="G67" s="200">
        <f>SUM(G61:G66)</f>
        <v>69926.59</v>
      </c>
      <c r="H67" s="200">
        <f>SUM(H61:H66)</f>
        <v>-45557.84</v>
      </c>
      <c r="I67" s="193"/>
      <c r="J67" s="200">
        <f>SUM(J61:J66)</f>
        <v>26629.839999999997</v>
      </c>
      <c r="K67" s="304"/>
      <c r="L67" s="200">
        <f>SUM(L62:L66)</f>
        <v>43296.75</v>
      </c>
      <c r="M67" s="380">
        <f>L67/J67</f>
        <v>1.6258734562430719</v>
      </c>
      <c r="N67" s="426"/>
      <c r="O67" s="577"/>
    </row>
    <row r="68" spans="1:15" s="55" customFormat="1" ht="7.5" customHeight="1" x14ac:dyDescent="0.2">
      <c r="A68" s="54"/>
      <c r="B68" s="54"/>
      <c r="C68" s="54"/>
      <c r="D68" s="54"/>
      <c r="E68" s="54"/>
      <c r="F68" s="54"/>
      <c r="G68" s="223"/>
      <c r="H68" s="223"/>
      <c r="I68" s="223"/>
      <c r="J68" s="223"/>
      <c r="K68" s="304"/>
      <c r="L68" s="324"/>
      <c r="M68" s="324"/>
      <c r="N68" s="426"/>
      <c r="O68" s="577"/>
    </row>
    <row r="69" spans="1:15" s="55" customFormat="1" ht="20.25" x14ac:dyDescent="0.2">
      <c r="A69" s="54"/>
      <c r="B69" s="54"/>
      <c r="C69" s="54"/>
      <c r="D69" s="54"/>
      <c r="E69" s="54" t="s">
        <v>85</v>
      </c>
      <c r="F69" s="54"/>
      <c r="G69" s="196">
        <f>G58+G67</f>
        <v>109103.38999999987</v>
      </c>
      <c r="H69" s="196">
        <f>H58+H67</f>
        <v>77114.230000000302</v>
      </c>
      <c r="I69" s="196"/>
      <c r="J69" s="196">
        <f>J58+J67</f>
        <v>15148.360000000132</v>
      </c>
      <c r="K69" s="304"/>
      <c r="L69" s="196">
        <f>L58+L67</f>
        <v>93955.029999999839</v>
      </c>
      <c r="M69" s="196"/>
      <c r="N69" s="426"/>
      <c r="O69" s="577"/>
    </row>
    <row r="70" spans="1:15" s="55" customFormat="1" ht="8.25" customHeight="1" x14ac:dyDescent="0.2">
      <c r="A70" s="54"/>
      <c r="B70" s="54"/>
      <c r="C70" s="54"/>
      <c r="D70" s="54"/>
      <c r="E70" s="54"/>
      <c r="F70" s="54"/>
      <c r="G70" s="193"/>
      <c r="H70" s="193"/>
      <c r="I70" s="193"/>
      <c r="J70" s="193"/>
      <c r="K70" s="304"/>
      <c r="L70" s="324"/>
      <c r="M70" s="324"/>
      <c r="N70" s="426"/>
      <c r="O70" s="577"/>
    </row>
    <row r="71" spans="1:15" s="62" customFormat="1" ht="26.25" x14ac:dyDescent="0.2">
      <c r="A71" s="219"/>
      <c r="B71" s="219"/>
      <c r="C71" s="54"/>
      <c r="D71" s="54" t="s">
        <v>143</v>
      </c>
      <c r="E71" s="54"/>
      <c r="F71" s="54"/>
      <c r="G71" s="196">
        <f>H72</f>
        <v>1057063.2400000002</v>
      </c>
      <c r="H71" s="196">
        <v>979949.01</v>
      </c>
      <c r="I71" s="196"/>
      <c r="J71" s="196">
        <f>H71-0.4</f>
        <v>979948.61</v>
      </c>
      <c r="K71" s="306"/>
      <c r="L71" s="325"/>
      <c r="M71" s="325"/>
      <c r="N71" s="430"/>
      <c r="O71" s="696"/>
    </row>
    <row r="72" spans="1:15" s="64" customFormat="1" ht="21" thickBot="1" x14ac:dyDescent="0.25">
      <c r="A72" s="54"/>
      <c r="B72" s="54"/>
      <c r="C72" s="54"/>
      <c r="E72" s="54" t="s">
        <v>142</v>
      </c>
      <c r="F72" s="54"/>
      <c r="G72" s="270">
        <f>G69+G71</f>
        <v>1166166.6300000001</v>
      </c>
      <c r="H72" s="270">
        <f>H69+H71</f>
        <v>1057063.2400000002</v>
      </c>
      <c r="I72" s="223"/>
      <c r="J72" s="270">
        <f>J69+J71</f>
        <v>995096.97000000009</v>
      </c>
      <c r="K72" s="307"/>
      <c r="L72" s="223"/>
      <c r="M72" s="325"/>
      <c r="N72" s="430"/>
      <c r="O72" s="786"/>
    </row>
    <row r="73" spans="1:15" s="52" customFormat="1" ht="6.75" customHeight="1" thickTop="1" x14ac:dyDescent="0.2">
      <c r="A73" s="219"/>
      <c r="B73" s="219"/>
      <c r="C73" s="54"/>
      <c r="D73" s="219"/>
      <c r="E73" s="219"/>
      <c r="F73" s="219"/>
      <c r="G73" s="221"/>
      <c r="H73" s="221"/>
      <c r="I73" s="193"/>
      <c r="J73" s="193"/>
      <c r="K73" s="303"/>
      <c r="L73" s="324"/>
      <c r="M73" s="324"/>
      <c r="N73" s="426"/>
      <c r="O73" s="682"/>
    </row>
    <row r="74" spans="1:15" s="55" customFormat="1" ht="16.5" customHeight="1" x14ac:dyDescent="0.2">
      <c r="A74" s="54"/>
      <c r="B74" s="54"/>
      <c r="D74" s="286"/>
      <c r="E74" s="54"/>
      <c r="G74" s="193"/>
      <c r="H74" s="193"/>
      <c r="I74" s="193"/>
      <c r="J74" s="193"/>
      <c r="K74" s="304"/>
      <c r="L74" s="324"/>
      <c r="M74" s="324"/>
      <c r="N74" s="426"/>
      <c r="O74" s="577"/>
    </row>
    <row r="75" spans="1:15" s="55" customFormat="1" ht="23.25" x14ac:dyDescent="0.2">
      <c r="A75" s="54"/>
      <c r="B75" s="222"/>
      <c r="C75" s="54"/>
      <c r="D75" s="54"/>
      <c r="E75" s="54"/>
      <c r="F75" s="54"/>
      <c r="G75" s="193"/>
      <c r="H75" s="193"/>
      <c r="I75" s="193"/>
      <c r="J75" s="193"/>
      <c r="K75" s="304"/>
      <c r="L75" s="324"/>
      <c r="M75" s="324"/>
      <c r="N75" s="426"/>
      <c r="O75" s="577"/>
    </row>
    <row r="76" spans="1:15" s="55" customFormat="1" ht="20.25" x14ac:dyDescent="0.2">
      <c r="A76" s="54"/>
      <c r="B76" s="54"/>
      <c r="C76" s="54"/>
      <c r="D76" s="54"/>
      <c r="E76" s="54"/>
      <c r="F76" s="54"/>
      <c r="G76" s="193"/>
      <c r="H76" s="193"/>
      <c r="I76" s="193"/>
      <c r="J76" s="193"/>
      <c r="K76" s="304"/>
      <c r="L76" s="324"/>
      <c r="M76" s="324"/>
      <c r="N76" s="426"/>
      <c r="O76" s="577"/>
    </row>
    <row r="77" spans="1:15" s="55" customFormat="1" ht="20.25" x14ac:dyDescent="0.2">
      <c r="A77" s="58"/>
      <c r="B77" s="58"/>
      <c r="C77" s="58"/>
      <c r="D77" s="58"/>
      <c r="F77" s="58"/>
      <c r="G77" s="202"/>
      <c r="H77" s="193"/>
      <c r="I77" s="193"/>
      <c r="J77" s="193"/>
      <c r="K77" s="304"/>
      <c r="L77" s="324"/>
      <c r="M77" s="324"/>
      <c r="N77" s="426"/>
      <c r="O77" s="577"/>
    </row>
    <row r="78" spans="1:15" s="55" customFormat="1" ht="20.25" x14ac:dyDescent="0.2">
      <c r="A78" s="58"/>
      <c r="B78" s="58"/>
      <c r="C78" s="58"/>
      <c r="D78" s="58"/>
      <c r="F78" s="58"/>
      <c r="G78" s="193"/>
      <c r="H78" s="193"/>
      <c r="I78" s="193"/>
      <c r="J78" s="193"/>
      <c r="K78" s="304"/>
      <c r="L78" s="324"/>
      <c r="M78" s="324"/>
      <c r="N78" s="426"/>
      <c r="O78" s="577"/>
    </row>
    <row r="79" spans="1:15" s="55" customFormat="1" ht="20.25" x14ac:dyDescent="0.2">
      <c r="A79" s="58"/>
      <c r="B79" s="58"/>
      <c r="C79" s="58"/>
      <c r="D79" s="58"/>
      <c r="F79" s="58"/>
      <c r="G79" s="193"/>
      <c r="H79" s="193"/>
      <c r="I79" s="193"/>
      <c r="J79" s="193"/>
      <c r="K79" s="304"/>
      <c r="L79" s="324"/>
      <c r="M79" s="324"/>
      <c r="N79" s="426"/>
      <c r="O79" s="577"/>
    </row>
    <row r="80" spans="1:15" s="55" customFormat="1" ht="20.25" x14ac:dyDescent="0.2">
      <c r="A80" s="58"/>
      <c r="B80" s="58"/>
      <c r="C80" s="58"/>
      <c r="D80" s="58"/>
      <c r="F80" s="58"/>
      <c r="G80" s="193"/>
      <c r="H80" s="193"/>
      <c r="I80" s="193"/>
      <c r="J80" s="193"/>
      <c r="K80" s="304"/>
      <c r="L80" s="324"/>
      <c r="M80" s="324"/>
      <c r="N80" s="426"/>
      <c r="O80" s="577"/>
    </row>
    <row r="81" spans="1:15" s="55" customFormat="1" ht="20.25" x14ac:dyDescent="0.2">
      <c r="A81" s="58"/>
      <c r="B81" s="58"/>
      <c r="C81" s="58"/>
      <c r="D81" s="58"/>
      <c r="F81" s="58"/>
      <c r="G81" s="193"/>
      <c r="H81" s="193"/>
      <c r="I81" s="193"/>
      <c r="J81" s="193"/>
      <c r="K81" s="304"/>
      <c r="L81" s="324"/>
      <c r="M81" s="324"/>
      <c r="N81" s="426"/>
      <c r="O81" s="577"/>
    </row>
    <row r="82" spans="1:15" s="55" customFormat="1" ht="20.25" x14ac:dyDescent="0.2">
      <c r="A82" s="58"/>
      <c r="B82" s="58"/>
      <c r="C82" s="58"/>
      <c r="D82" s="58"/>
      <c r="F82" s="58"/>
      <c r="G82" s="193"/>
      <c r="H82" s="193"/>
      <c r="I82" s="193"/>
      <c r="J82" s="193"/>
      <c r="K82" s="304"/>
      <c r="L82" s="324"/>
      <c r="M82" s="324"/>
      <c r="N82" s="426"/>
      <c r="O82" s="577"/>
    </row>
    <row r="83" spans="1:15" s="55" customFormat="1" ht="20.25" x14ac:dyDescent="0.2">
      <c r="A83" s="58"/>
      <c r="B83" s="58"/>
      <c r="C83" s="54"/>
      <c r="D83" s="58"/>
      <c r="F83" s="58"/>
      <c r="G83" s="193"/>
      <c r="H83" s="193"/>
      <c r="I83" s="193"/>
      <c r="J83" s="193"/>
      <c r="K83" s="304"/>
      <c r="L83" s="324"/>
      <c r="M83" s="324"/>
      <c r="N83" s="426"/>
      <c r="O83" s="577"/>
    </row>
    <row r="84" spans="1:15" s="55" customFormat="1" ht="20.25" x14ac:dyDescent="0.2">
      <c r="A84" s="58"/>
      <c r="B84" s="58"/>
      <c r="C84" s="58"/>
      <c r="D84" s="58"/>
      <c r="E84" s="58"/>
      <c r="F84" s="58"/>
      <c r="G84" s="193"/>
      <c r="H84" s="193"/>
      <c r="I84" s="193"/>
      <c r="J84" s="193"/>
      <c r="K84" s="304"/>
      <c r="L84" s="324"/>
      <c r="M84" s="324"/>
      <c r="N84" s="426"/>
      <c r="O84" s="577"/>
    </row>
    <row r="85" spans="1:15" s="55" customFormat="1" ht="20.25" x14ac:dyDescent="0.2">
      <c r="A85" s="58"/>
      <c r="B85" s="58"/>
      <c r="C85" s="54"/>
      <c r="D85" s="54"/>
      <c r="G85" s="193"/>
      <c r="H85" s="193"/>
      <c r="I85" s="193"/>
      <c r="J85" s="193"/>
      <c r="K85" s="304"/>
      <c r="L85" s="324"/>
      <c r="M85" s="324"/>
      <c r="N85" s="426"/>
      <c r="O85" s="577"/>
    </row>
    <row r="86" spans="1:15" s="55" customFormat="1" ht="20.25" x14ac:dyDescent="0.2">
      <c r="A86" s="58"/>
      <c r="B86" s="58"/>
      <c r="C86" s="58"/>
      <c r="D86" s="58"/>
      <c r="E86" s="58"/>
      <c r="F86" s="58"/>
      <c r="G86" s="193"/>
      <c r="H86" s="193"/>
      <c r="I86" s="193"/>
      <c r="J86" s="193"/>
      <c r="K86" s="304"/>
      <c r="L86" s="324"/>
      <c r="M86" s="324"/>
      <c r="N86" s="426"/>
      <c r="O86" s="577"/>
    </row>
    <row r="87" spans="1:15" s="55" customFormat="1" ht="20.25" x14ac:dyDescent="0.2">
      <c r="A87" s="58"/>
      <c r="B87" s="58"/>
      <c r="C87" s="58"/>
      <c r="D87" s="58"/>
      <c r="E87" s="58"/>
      <c r="F87" s="58"/>
      <c r="G87" s="193"/>
      <c r="H87" s="193"/>
      <c r="I87" s="193"/>
      <c r="J87" s="193"/>
      <c r="K87" s="304"/>
      <c r="L87" s="324"/>
      <c r="M87" s="324"/>
      <c r="N87" s="426"/>
      <c r="O87" s="577"/>
    </row>
    <row r="88" spans="1:15" s="55" customFormat="1" ht="20.25" x14ac:dyDescent="0.2">
      <c r="A88" s="58"/>
      <c r="B88" s="58"/>
      <c r="C88" s="58"/>
      <c r="D88" s="58"/>
      <c r="E88" s="58"/>
      <c r="F88" s="58"/>
      <c r="G88" s="193"/>
      <c r="H88" s="193"/>
      <c r="I88" s="193"/>
      <c r="J88" s="193"/>
      <c r="K88" s="304"/>
      <c r="L88" s="324"/>
      <c r="M88" s="324"/>
      <c r="N88" s="426"/>
      <c r="O88" s="577"/>
    </row>
    <row r="89" spans="1:15" s="55" customFormat="1" ht="20.25" x14ac:dyDescent="0.2">
      <c r="A89" s="58"/>
      <c r="B89" s="58"/>
      <c r="C89" s="58"/>
      <c r="D89" s="58"/>
      <c r="E89" s="58"/>
      <c r="F89" s="58"/>
      <c r="G89" s="193"/>
      <c r="H89" s="193"/>
      <c r="I89" s="193"/>
      <c r="J89" s="193"/>
      <c r="K89" s="304"/>
      <c r="L89" s="324"/>
      <c r="M89" s="324"/>
      <c r="N89" s="426"/>
      <c r="O89" s="577"/>
    </row>
    <row r="90" spans="1:15" s="55" customFormat="1" ht="20.25" x14ac:dyDescent="0.2">
      <c r="A90" s="58"/>
      <c r="B90" s="58"/>
      <c r="C90" s="54"/>
      <c r="D90" s="58"/>
      <c r="F90" s="58"/>
      <c r="G90" s="193"/>
      <c r="H90" s="193"/>
      <c r="I90" s="193"/>
      <c r="J90" s="193"/>
      <c r="K90" s="304"/>
      <c r="L90" s="324"/>
      <c r="M90" s="324"/>
      <c r="N90" s="426"/>
      <c r="O90" s="577"/>
    </row>
    <row r="91" spans="1:15" s="55" customFormat="1" ht="20.25" x14ac:dyDescent="0.2">
      <c r="A91" s="58"/>
      <c r="B91" s="58"/>
      <c r="C91" s="58"/>
      <c r="D91" s="58"/>
      <c r="E91" s="58"/>
      <c r="F91" s="58"/>
      <c r="G91" s="193"/>
      <c r="H91" s="193"/>
      <c r="I91" s="193"/>
      <c r="J91" s="193"/>
      <c r="K91" s="304"/>
      <c r="L91" s="324"/>
      <c r="M91" s="324"/>
      <c r="N91" s="426"/>
      <c r="O91" s="577"/>
    </row>
    <row r="92" spans="1:15" s="55" customFormat="1" ht="20.25" x14ac:dyDescent="0.2">
      <c r="A92" s="54"/>
      <c r="B92" s="54"/>
      <c r="C92" s="54"/>
      <c r="D92" s="54"/>
      <c r="E92" s="54"/>
      <c r="F92" s="54"/>
      <c r="G92" s="196"/>
      <c r="H92" s="196"/>
      <c r="I92" s="196"/>
      <c r="J92" s="196"/>
      <c r="K92" s="304"/>
      <c r="N92" s="426"/>
      <c r="O92" s="577"/>
    </row>
    <row r="93" spans="1:15" s="55" customFormat="1" ht="20.25" x14ac:dyDescent="0.2">
      <c r="A93" s="54"/>
      <c r="B93" s="54"/>
      <c r="C93" s="54"/>
      <c r="D93" s="54"/>
      <c r="E93" s="54"/>
      <c r="F93" s="54"/>
      <c r="G93" s="196"/>
      <c r="H93" s="196"/>
      <c r="I93" s="196"/>
      <c r="J93" s="196"/>
      <c r="K93" s="304"/>
      <c r="N93" s="426"/>
      <c r="O93" s="577"/>
    </row>
    <row r="94" spans="1:15" s="55" customFormat="1" ht="23.25" x14ac:dyDescent="0.2">
      <c r="A94" s="54"/>
      <c r="B94" s="222"/>
      <c r="C94" s="54"/>
      <c r="D94" s="54"/>
      <c r="E94" s="54"/>
      <c r="F94" s="54"/>
      <c r="G94" s="193"/>
      <c r="H94" s="193"/>
      <c r="I94" s="193"/>
      <c r="J94" s="193"/>
      <c r="K94" s="304"/>
      <c r="N94" s="426"/>
      <c r="O94" s="577"/>
    </row>
    <row r="95" spans="1:15" s="55" customFormat="1" ht="20.25" x14ac:dyDescent="0.2">
      <c r="A95" s="58"/>
      <c r="B95" s="58"/>
      <c r="D95" s="58"/>
      <c r="E95" s="58"/>
      <c r="F95" s="58"/>
      <c r="G95" s="193"/>
      <c r="H95" s="193"/>
      <c r="I95" s="193"/>
      <c r="J95" s="193"/>
      <c r="K95" s="304"/>
      <c r="N95" s="426"/>
      <c r="O95" s="577"/>
    </row>
    <row r="96" spans="1:15" s="55" customFormat="1" ht="20.25" x14ac:dyDescent="0.2">
      <c r="A96" s="58"/>
      <c r="B96" s="58"/>
      <c r="D96" s="58"/>
      <c r="E96" s="58"/>
      <c r="F96" s="58"/>
      <c r="G96" s="193"/>
      <c r="H96" s="193"/>
      <c r="I96" s="193"/>
      <c r="J96" s="193"/>
      <c r="K96" s="304"/>
      <c r="N96" s="426"/>
      <c r="O96" s="577"/>
    </row>
    <row r="97" spans="1:15" s="55" customFormat="1" ht="20.25" x14ac:dyDescent="0.2">
      <c r="A97" s="54"/>
      <c r="B97" s="54"/>
      <c r="D97" s="58"/>
      <c r="E97" s="54"/>
      <c r="F97" s="54"/>
      <c r="G97" s="193"/>
      <c r="H97" s="193"/>
      <c r="I97" s="193"/>
      <c r="J97" s="193"/>
      <c r="K97" s="304"/>
      <c r="N97" s="426"/>
      <c r="O97" s="577"/>
    </row>
    <row r="98" spans="1:15" s="55" customFormat="1" ht="23.25" x14ac:dyDescent="0.2">
      <c r="A98" s="54"/>
      <c r="B98" s="222"/>
      <c r="C98" s="54"/>
      <c r="D98" s="54"/>
      <c r="E98" s="54"/>
      <c r="F98" s="54"/>
      <c r="G98" s="196"/>
      <c r="H98" s="196"/>
      <c r="I98" s="196"/>
      <c r="J98" s="196"/>
      <c r="K98" s="304"/>
      <c r="N98" s="426"/>
      <c r="O98" s="577"/>
    </row>
    <row r="99" spans="1:15" s="55" customFormat="1" ht="20.25" x14ac:dyDescent="0.2">
      <c r="A99" s="54"/>
      <c r="B99" s="54"/>
      <c r="C99" s="54"/>
      <c r="D99" s="54"/>
      <c r="E99" s="54"/>
      <c r="F99" s="54"/>
      <c r="G99" s="193"/>
      <c r="H99" s="193"/>
      <c r="I99" s="193"/>
      <c r="J99" s="193"/>
      <c r="K99" s="304"/>
      <c r="N99" s="426"/>
      <c r="O99" s="577"/>
    </row>
    <row r="100" spans="1:15" s="62" customFormat="1" ht="26.25" x14ac:dyDescent="0.2">
      <c r="A100" s="219"/>
      <c r="B100" s="219"/>
      <c r="C100" s="219"/>
      <c r="D100" s="219"/>
      <c r="E100" s="219"/>
      <c r="F100" s="219"/>
      <c r="G100" s="220"/>
      <c r="H100" s="196"/>
      <c r="I100" s="196"/>
      <c r="J100" s="196"/>
      <c r="K100" s="306"/>
      <c r="N100" s="430"/>
      <c r="O100" s="696"/>
    </row>
    <row r="101" spans="1:15" ht="20.25" x14ac:dyDescent="0.3">
      <c r="H101" s="227"/>
      <c r="I101" s="227"/>
      <c r="J101" s="227"/>
    </row>
    <row r="102" spans="1:15" ht="20.25" x14ac:dyDescent="0.3">
      <c r="H102" s="227"/>
      <c r="I102" s="227"/>
      <c r="J102" s="227"/>
    </row>
    <row r="103" spans="1:15" ht="20.25" x14ac:dyDescent="0.3">
      <c r="H103" s="227"/>
      <c r="I103" s="227"/>
      <c r="J103" s="227"/>
    </row>
    <row r="104" spans="1:15" ht="20.25" x14ac:dyDescent="0.3">
      <c r="H104" s="224"/>
      <c r="I104" s="224"/>
      <c r="J104" s="224"/>
    </row>
  </sheetData>
  <mergeCells count="3">
    <mergeCell ref="L8:M8"/>
    <mergeCell ref="G6:J6"/>
    <mergeCell ref="C44:F44"/>
  </mergeCells>
  <pageMargins left="0.65" right="0.15" top="0.25" bottom="0.25" header="0.3" footer="0.3"/>
  <pageSetup scale="44"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56"/>
  <sheetViews>
    <sheetView zoomScale="75" zoomScaleNormal="75" workbookViewId="0">
      <selection activeCell="O10" sqref="O10"/>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4.625" style="45" customWidth="1"/>
    <col min="7" max="7" width="24.25" customWidth="1"/>
    <col min="228" max="228" width="2.875" customWidth="1"/>
    <col min="229" max="229" width="8.125" customWidth="1"/>
    <col min="230" max="230" width="8.75" customWidth="1"/>
    <col min="231" max="231" width="11" customWidth="1"/>
    <col min="232" max="232" width="2.875" customWidth="1"/>
    <col min="233" max="233" width="77.625" customWidth="1"/>
    <col min="234" max="234" width="20.875" customWidth="1"/>
    <col min="484" max="484" width="2.875" customWidth="1"/>
    <col min="485" max="485" width="8.125" customWidth="1"/>
    <col min="486" max="486" width="8.75" customWidth="1"/>
    <col min="487" max="487" width="11" customWidth="1"/>
    <col min="488" max="488" width="2.875" customWidth="1"/>
    <col min="489" max="489" width="77.625" customWidth="1"/>
    <col min="490" max="490" width="20.875" customWidth="1"/>
    <col min="740" max="740" width="2.875" customWidth="1"/>
    <col min="741" max="741" width="8.125" customWidth="1"/>
    <col min="742" max="742" width="8.75" customWidth="1"/>
    <col min="743" max="743" width="11" customWidth="1"/>
    <col min="744" max="744" width="2.875" customWidth="1"/>
    <col min="745" max="745" width="77.625" customWidth="1"/>
    <col min="746" max="746" width="20.875" customWidth="1"/>
    <col min="996" max="996" width="2.875" customWidth="1"/>
    <col min="997" max="997" width="8.125" customWidth="1"/>
    <col min="998" max="998" width="8.75" customWidth="1"/>
    <col min="999" max="999" width="11" customWidth="1"/>
    <col min="1000" max="1000" width="2.875" customWidth="1"/>
    <col min="1001" max="1001" width="77.625" customWidth="1"/>
    <col min="1002" max="1002" width="20.875" customWidth="1"/>
    <col min="1252" max="1252" width="2.875" customWidth="1"/>
    <col min="1253" max="1253" width="8.125" customWidth="1"/>
    <col min="1254" max="1254" width="8.75" customWidth="1"/>
    <col min="1255" max="1255" width="11" customWidth="1"/>
    <col min="1256" max="1256" width="2.875" customWidth="1"/>
    <col min="1257" max="1257" width="77.625" customWidth="1"/>
    <col min="1258" max="1258" width="20.875" customWidth="1"/>
    <col min="1508" max="1508" width="2.875" customWidth="1"/>
    <col min="1509" max="1509" width="8.125" customWidth="1"/>
    <col min="1510" max="1510" width="8.75" customWidth="1"/>
    <col min="1511" max="1511" width="11" customWidth="1"/>
    <col min="1512" max="1512" width="2.875" customWidth="1"/>
    <col min="1513" max="1513" width="77.625" customWidth="1"/>
    <col min="1514" max="1514" width="20.875" customWidth="1"/>
    <col min="1764" max="1764" width="2.875" customWidth="1"/>
    <col min="1765" max="1765" width="8.125" customWidth="1"/>
    <col min="1766" max="1766" width="8.75" customWidth="1"/>
    <col min="1767" max="1767" width="11" customWidth="1"/>
    <col min="1768" max="1768" width="2.875" customWidth="1"/>
    <col min="1769" max="1769" width="77.625" customWidth="1"/>
    <col min="1770" max="1770" width="20.875" customWidth="1"/>
    <col min="2020" max="2020" width="2.875" customWidth="1"/>
    <col min="2021" max="2021" width="8.125" customWidth="1"/>
    <col min="2022" max="2022" width="8.75" customWidth="1"/>
    <col min="2023" max="2023" width="11" customWidth="1"/>
    <col min="2024" max="2024" width="2.875" customWidth="1"/>
    <col min="2025" max="2025" width="77.625" customWidth="1"/>
    <col min="2026" max="2026" width="20.875" customWidth="1"/>
    <col min="2276" max="2276" width="2.875" customWidth="1"/>
    <col min="2277" max="2277" width="8.125" customWidth="1"/>
    <col min="2278" max="2278" width="8.75" customWidth="1"/>
    <col min="2279" max="2279" width="11" customWidth="1"/>
    <col min="2280" max="2280" width="2.875" customWidth="1"/>
    <col min="2281" max="2281" width="77.625" customWidth="1"/>
    <col min="2282" max="2282" width="20.875" customWidth="1"/>
    <col min="2532" max="2532" width="2.875" customWidth="1"/>
    <col min="2533" max="2533" width="8.125" customWidth="1"/>
    <col min="2534" max="2534" width="8.75" customWidth="1"/>
    <col min="2535" max="2535" width="11" customWidth="1"/>
    <col min="2536" max="2536" width="2.875" customWidth="1"/>
    <col min="2537" max="2537" width="77.625" customWidth="1"/>
    <col min="2538" max="2538" width="20.875" customWidth="1"/>
    <col min="2788" max="2788" width="2.875" customWidth="1"/>
    <col min="2789" max="2789" width="8.125" customWidth="1"/>
    <col min="2790" max="2790" width="8.75" customWidth="1"/>
    <col min="2791" max="2791" width="11" customWidth="1"/>
    <col min="2792" max="2792" width="2.875" customWidth="1"/>
    <col min="2793" max="2793" width="77.625" customWidth="1"/>
    <col min="2794" max="2794" width="20.875" customWidth="1"/>
    <col min="3044" max="3044" width="2.875" customWidth="1"/>
    <col min="3045" max="3045" width="8.125" customWidth="1"/>
    <col min="3046" max="3046" width="8.75" customWidth="1"/>
    <col min="3047" max="3047" width="11" customWidth="1"/>
    <col min="3048" max="3048" width="2.875" customWidth="1"/>
    <col min="3049" max="3049" width="77.625" customWidth="1"/>
    <col min="3050" max="3050" width="20.875" customWidth="1"/>
    <col min="3300" max="3300" width="2.875" customWidth="1"/>
    <col min="3301" max="3301" width="8.125" customWidth="1"/>
    <col min="3302" max="3302" width="8.75" customWidth="1"/>
    <col min="3303" max="3303" width="11" customWidth="1"/>
    <col min="3304" max="3304" width="2.875" customWidth="1"/>
    <col min="3305" max="3305" width="77.625" customWidth="1"/>
    <col min="3306" max="3306" width="20.875" customWidth="1"/>
    <col min="3556" max="3556" width="2.875" customWidth="1"/>
    <col min="3557" max="3557" width="8.125" customWidth="1"/>
    <col min="3558" max="3558" width="8.75" customWidth="1"/>
    <col min="3559" max="3559" width="11" customWidth="1"/>
    <col min="3560" max="3560" width="2.875" customWidth="1"/>
    <col min="3561" max="3561" width="77.625" customWidth="1"/>
    <col min="3562" max="3562" width="20.875" customWidth="1"/>
    <col min="3812" max="3812" width="2.875" customWidth="1"/>
    <col min="3813" max="3813" width="8.125" customWidth="1"/>
    <col min="3814" max="3814" width="8.75" customWidth="1"/>
    <col min="3815" max="3815" width="11" customWidth="1"/>
    <col min="3816" max="3816" width="2.875" customWidth="1"/>
    <col min="3817" max="3817" width="77.625" customWidth="1"/>
    <col min="3818" max="3818" width="20.875" customWidth="1"/>
    <col min="4068" max="4068" width="2.875" customWidth="1"/>
    <col min="4069" max="4069" width="8.125" customWidth="1"/>
    <col min="4070" max="4070" width="8.75" customWidth="1"/>
    <col min="4071" max="4071" width="11" customWidth="1"/>
    <col min="4072" max="4072" width="2.875" customWidth="1"/>
    <col min="4073" max="4073" width="77.625" customWidth="1"/>
    <col min="4074" max="4074" width="20.875" customWidth="1"/>
    <col min="4324" max="4324" width="2.875" customWidth="1"/>
    <col min="4325" max="4325" width="8.125" customWidth="1"/>
    <col min="4326" max="4326" width="8.75" customWidth="1"/>
    <col min="4327" max="4327" width="11" customWidth="1"/>
    <col min="4328" max="4328" width="2.875" customWidth="1"/>
    <col min="4329" max="4329" width="77.625" customWidth="1"/>
    <col min="4330" max="4330" width="20.875" customWidth="1"/>
    <col min="4580" max="4580" width="2.875" customWidth="1"/>
    <col min="4581" max="4581" width="8.125" customWidth="1"/>
    <col min="4582" max="4582" width="8.75" customWidth="1"/>
    <col min="4583" max="4583" width="11" customWidth="1"/>
    <col min="4584" max="4584" width="2.875" customWidth="1"/>
    <col min="4585" max="4585" width="77.625" customWidth="1"/>
    <col min="4586" max="4586" width="20.875" customWidth="1"/>
    <col min="4836" max="4836" width="2.875" customWidth="1"/>
    <col min="4837" max="4837" width="8.125" customWidth="1"/>
    <col min="4838" max="4838" width="8.75" customWidth="1"/>
    <col min="4839" max="4839" width="11" customWidth="1"/>
    <col min="4840" max="4840" width="2.875" customWidth="1"/>
    <col min="4841" max="4841" width="77.625" customWidth="1"/>
    <col min="4842" max="4842" width="20.875" customWidth="1"/>
    <col min="5092" max="5092" width="2.875" customWidth="1"/>
    <col min="5093" max="5093" width="8.125" customWidth="1"/>
    <col min="5094" max="5094" width="8.75" customWidth="1"/>
    <col min="5095" max="5095" width="11" customWidth="1"/>
    <col min="5096" max="5096" width="2.875" customWidth="1"/>
    <col min="5097" max="5097" width="77.625" customWidth="1"/>
    <col min="5098" max="5098" width="20.875" customWidth="1"/>
    <col min="5348" max="5348" width="2.875" customWidth="1"/>
    <col min="5349" max="5349" width="8.125" customWidth="1"/>
    <col min="5350" max="5350" width="8.75" customWidth="1"/>
    <col min="5351" max="5351" width="11" customWidth="1"/>
    <col min="5352" max="5352" width="2.875" customWidth="1"/>
    <col min="5353" max="5353" width="77.625" customWidth="1"/>
    <col min="5354" max="5354" width="20.875" customWidth="1"/>
    <col min="5604" max="5604" width="2.875" customWidth="1"/>
    <col min="5605" max="5605" width="8.125" customWidth="1"/>
    <col min="5606" max="5606" width="8.75" customWidth="1"/>
    <col min="5607" max="5607" width="11" customWidth="1"/>
    <col min="5608" max="5608" width="2.875" customWidth="1"/>
    <col min="5609" max="5609" width="77.625" customWidth="1"/>
    <col min="5610" max="5610" width="20.875" customWidth="1"/>
    <col min="5860" max="5860" width="2.875" customWidth="1"/>
    <col min="5861" max="5861" width="8.125" customWidth="1"/>
    <col min="5862" max="5862" width="8.75" customWidth="1"/>
    <col min="5863" max="5863" width="11" customWidth="1"/>
    <col min="5864" max="5864" width="2.875" customWidth="1"/>
    <col min="5865" max="5865" width="77.625" customWidth="1"/>
    <col min="5866" max="5866" width="20.875" customWidth="1"/>
    <col min="6116" max="6116" width="2.875" customWidth="1"/>
    <col min="6117" max="6117" width="8.125" customWidth="1"/>
    <col min="6118" max="6118" width="8.75" customWidth="1"/>
    <col min="6119" max="6119" width="11" customWidth="1"/>
    <col min="6120" max="6120" width="2.875" customWidth="1"/>
    <col min="6121" max="6121" width="77.625" customWidth="1"/>
    <col min="6122" max="6122" width="20.875" customWidth="1"/>
    <col min="6372" max="6372" width="2.875" customWidth="1"/>
    <col min="6373" max="6373" width="8.125" customWidth="1"/>
    <col min="6374" max="6374" width="8.75" customWidth="1"/>
    <col min="6375" max="6375" width="11" customWidth="1"/>
    <col min="6376" max="6376" width="2.875" customWidth="1"/>
    <col min="6377" max="6377" width="77.625" customWidth="1"/>
    <col min="6378" max="6378" width="20.875" customWidth="1"/>
    <col min="6628" max="6628" width="2.875" customWidth="1"/>
    <col min="6629" max="6629" width="8.125" customWidth="1"/>
    <col min="6630" max="6630" width="8.75" customWidth="1"/>
    <col min="6631" max="6631" width="11" customWidth="1"/>
    <col min="6632" max="6632" width="2.875" customWidth="1"/>
    <col min="6633" max="6633" width="77.625" customWidth="1"/>
    <col min="6634" max="6634" width="20.875" customWidth="1"/>
    <col min="6884" max="6884" width="2.875" customWidth="1"/>
    <col min="6885" max="6885" width="8.125" customWidth="1"/>
    <col min="6886" max="6886" width="8.75" customWidth="1"/>
    <col min="6887" max="6887" width="11" customWidth="1"/>
    <col min="6888" max="6888" width="2.875" customWidth="1"/>
    <col min="6889" max="6889" width="77.625" customWidth="1"/>
    <col min="6890" max="6890" width="20.875" customWidth="1"/>
    <col min="7140" max="7140" width="2.875" customWidth="1"/>
    <col min="7141" max="7141" width="8.125" customWidth="1"/>
    <col min="7142" max="7142" width="8.75" customWidth="1"/>
    <col min="7143" max="7143" width="11" customWidth="1"/>
    <col min="7144" max="7144" width="2.875" customWidth="1"/>
    <col min="7145" max="7145" width="77.625" customWidth="1"/>
    <col min="7146" max="7146" width="20.875" customWidth="1"/>
    <col min="7396" max="7396" width="2.875" customWidth="1"/>
    <col min="7397" max="7397" width="8.125" customWidth="1"/>
    <col min="7398" max="7398" width="8.75" customWidth="1"/>
    <col min="7399" max="7399" width="11" customWidth="1"/>
    <col min="7400" max="7400" width="2.875" customWidth="1"/>
    <col min="7401" max="7401" width="77.625" customWidth="1"/>
    <col min="7402" max="7402" width="20.875" customWidth="1"/>
    <col min="7652" max="7652" width="2.875" customWidth="1"/>
    <col min="7653" max="7653" width="8.125" customWidth="1"/>
    <col min="7654" max="7654" width="8.75" customWidth="1"/>
    <col min="7655" max="7655" width="11" customWidth="1"/>
    <col min="7656" max="7656" width="2.875" customWidth="1"/>
    <col min="7657" max="7657" width="77.625" customWidth="1"/>
    <col min="7658" max="7658" width="20.875" customWidth="1"/>
    <col min="7908" max="7908" width="2.875" customWidth="1"/>
    <col min="7909" max="7909" width="8.125" customWidth="1"/>
    <col min="7910" max="7910" width="8.75" customWidth="1"/>
    <col min="7911" max="7911" width="11" customWidth="1"/>
    <col min="7912" max="7912" width="2.875" customWidth="1"/>
    <col min="7913" max="7913" width="77.625" customWidth="1"/>
    <col min="7914" max="7914" width="20.875" customWidth="1"/>
    <col min="8164" max="8164" width="2.875" customWidth="1"/>
    <col min="8165" max="8165" width="8.125" customWidth="1"/>
    <col min="8166" max="8166" width="8.75" customWidth="1"/>
    <col min="8167" max="8167" width="11" customWidth="1"/>
    <col min="8168" max="8168" width="2.875" customWidth="1"/>
    <col min="8169" max="8169" width="77.625" customWidth="1"/>
    <col min="8170" max="8170" width="20.875" customWidth="1"/>
    <col min="8420" max="8420" width="2.875" customWidth="1"/>
    <col min="8421" max="8421" width="8.125" customWidth="1"/>
    <col min="8422" max="8422" width="8.75" customWidth="1"/>
    <col min="8423" max="8423" width="11" customWidth="1"/>
    <col min="8424" max="8424" width="2.875" customWidth="1"/>
    <col min="8425" max="8425" width="77.625" customWidth="1"/>
    <col min="8426" max="8426" width="20.875" customWidth="1"/>
    <col min="8676" max="8676" width="2.875" customWidth="1"/>
    <col min="8677" max="8677" width="8.125" customWidth="1"/>
    <col min="8678" max="8678" width="8.75" customWidth="1"/>
    <col min="8679" max="8679" width="11" customWidth="1"/>
    <col min="8680" max="8680" width="2.875" customWidth="1"/>
    <col min="8681" max="8681" width="77.625" customWidth="1"/>
    <col min="8682" max="8682" width="20.875" customWidth="1"/>
    <col min="8932" max="8932" width="2.875" customWidth="1"/>
    <col min="8933" max="8933" width="8.125" customWidth="1"/>
    <col min="8934" max="8934" width="8.75" customWidth="1"/>
    <col min="8935" max="8935" width="11" customWidth="1"/>
    <col min="8936" max="8936" width="2.875" customWidth="1"/>
    <col min="8937" max="8937" width="77.625" customWidth="1"/>
    <col min="8938" max="8938" width="20.875" customWidth="1"/>
    <col min="9188" max="9188" width="2.875" customWidth="1"/>
    <col min="9189" max="9189" width="8.125" customWidth="1"/>
    <col min="9190" max="9190" width="8.75" customWidth="1"/>
    <col min="9191" max="9191" width="11" customWidth="1"/>
    <col min="9192" max="9192" width="2.875" customWidth="1"/>
    <col min="9193" max="9193" width="77.625" customWidth="1"/>
    <col min="9194" max="9194" width="20.875" customWidth="1"/>
    <col min="9444" max="9444" width="2.875" customWidth="1"/>
    <col min="9445" max="9445" width="8.125" customWidth="1"/>
    <col min="9446" max="9446" width="8.75" customWidth="1"/>
    <col min="9447" max="9447" width="11" customWidth="1"/>
    <col min="9448" max="9448" width="2.875" customWidth="1"/>
    <col min="9449" max="9449" width="77.625" customWidth="1"/>
    <col min="9450" max="9450" width="20.875" customWidth="1"/>
    <col min="9700" max="9700" width="2.875" customWidth="1"/>
    <col min="9701" max="9701" width="8.125" customWidth="1"/>
    <col min="9702" max="9702" width="8.75" customWidth="1"/>
    <col min="9703" max="9703" width="11" customWidth="1"/>
    <col min="9704" max="9704" width="2.875" customWidth="1"/>
    <col min="9705" max="9705" width="77.625" customWidth="1"/>
    <col min="9706" max="9706" width="20.875" customWidth="1"/>
    <col min="9956" max="9956" width="2.875" customWidth="1"/>
    <col min="9957" max="9957" width="8.125" customWidth="1"/>
    <col min="9958" max="9958" width="8.75" customWidth="1"/>
    <col min="9959" max="9959" width="11" customWidth="1"/>
    <col min="9960" max="9960" width="2.875" customWidth="1"/>
    <col min="9961" max="9961" width="77.625" customWidth="1"/>
    <col min="9962" max="9962" width="20.875" customWidth="1"/>
    <col min="10212" max="10212" width="2.875" customWidth="1"/>
    <col min="10213" max="10213" width="8.125" customWidth="1"/>
    <col min="10214" max="10214" width="8.75" customWidth="1"/>
    <col min="10215" max="10215" width="11" customWidth="1"/>
    <col min="10216" max="10216" width="2.875" customWidth="1"/>
    <col min="10217" max="10217" width="77.625" customWidth="1"/>
    <col min="10218" max="10218" width="20.875" customWidth="1"/>
    <col min="10468" max="10468" width="2.875" customWidth="1"/>
    <col min="10469" max="10469" width="8.125" customWidth="1"/>
    <col min="10470" max="10470" width="8.75" customWidth="1"/>
    <col min="10471" max="10471" width="11" customWidth="1"/>
    <col min="10472" max="10472" width="2.875" customWidth="1"/>
    <col min="10473" max="10473" width="77.625" customWidth="1"/>
    <col min="10474" max="10474" width="20.875" customWidth="1"/>
    <col min="10724" max="10724" width="2.875" customWidth="1"/>
    <col min="10725" max="10725" width="8.125" customWidth="1"/>
    <col min="10726" max="10726" width="8.75" customWidth="1"/>
    <col min="10727" max="10727" width="11" customWidth="1"/>
    <col min="10728" max="10728" width="2.875" customWidth="1"/>
    <col min="10729" max="10729" width="77.625" customWidth="1"/>
    <col min="10730" max="10730" width="20.875" customWidth="1"/>
    <col min="10980" max="10980" width="2.875" customWidth="1"/>
    <col min="10981" max="10981" width="8.125" customWidth="1"/>
    <col min="10982" max="10982" width="8.75" customWidth="1"/>
    <col min="10983" max="10983" width="11" customWidth="1"/>
    <col min="10984" max="10984" width="2.875" customWidth="1"/>
    <col min="10985" max="10985" width="77.625" customWidth="1"/>
    <col min="10986" max="10986" width="20.875" customWidth="1"/>
    <col min="11236" max="11236" width="2.875" customWidth="1"/>
    <col min="11237" max="11237" width="8.125" customWidth="1"/>
    <col min="11238" max="11238" width="8.75" customWidth="1"/>
    <col min="11239" max="11239" width="11" customWidth="1"/>
    <col min="11240" max="11240" width="2.875" customWidth="1"/>
    <col min="11241" max="11241" width="77.625" customWidth="1"/>
    <col min="11242" max="11242" width="20.875" customWidth="1"/>
    <col min="11492" max="11492" width="2.875" customWidth="1"/>
    <col min="11493" max="11493" width="8.125" customWidth="1"/>
    <col min="11494" max="11494" width="8.75" customWidth="1"/>
    <col min="11495" max="11495" width="11" customWidth="1"/>
    <col min="11496" max="11496" width="2.875" customWidth="1"/>
    <col min="11497" max="11497" width="77.625" customWidth="1"/>
    <col min="11498" max="11498" width="20.875" customWidth="1"/>
    <col min="11748" max="11748" width="2.875" customWidth="1"/>
    <col min="11749" max="11749" width="8.125" customWidth="1"/>
    <col min="11750" max="11750" width="8.75" customWidth="1"/>
    <col min="11751" max="11751" width="11" customWidth="1"/>
    <col min="11752" max="11752" width="2.875" customWidth="1"/>
    <col min="11753" max="11753" width="77.625" customWidth="1"/>
    <col min="11754" max="11754" width="20.875" customWidth="1"/>
    <col min="12004" max="12004" width="2.875" customWidth="1"/>
    <col min="12005" max="12005" width="8.125" customWidth="1"/>
    <col min="12006" max="12006" width="8.75" customWidth="1"/>
    <col min="12007" max="12007" width="11" customWidth="1"/>
    <col min="12008" max="12008" width="2.875" customWidth="1"/>
    <col min="12009" max="12009" width="77.625" customWidth="1"/>
    <col min="12010" max="12010" width="20.875" customWidth="1"/>
    <col min="12260" max="12260" width="2.875" customWidth="1"/>
    <col min="12261" max="12261" width="8.125" customWidth="1"/>
    <col min="12262" max="12262" width="8.75" customWidth="1"/>
    <col min="12263" max="12263" width="11" customWidth="1"/>
    <col min="12264" max="12264" width="2.875" customWidth="1"/>
    <col min="12265" max="12265" width="77.625" customWidth="1"/>
    <col min="12266" max="12266" width="20.875" customWidth="1"/>
    <col min="12516" max="12516" width="2.875" customWidth="1"/>
    <col min="12517" max="12517" width="8.125" customWidth="1"/>
    <col min="12518" max="12518" width="8.75" customWidth="1"/>
    <col min="12519" max="12519" width="11" customWidth="1"/>
    <col min="12520" max="12520" width="2.875" customWidth="1"/>
    <col min="12521" max="12521" width="77.625" customWidth="1"/>
    <col min="12522" max="12522" width="20.875" customWidth="1"/>
    <col min="12772" max="12772" width="2.875" customWidth="1"/>
    <col min="12773" max="12773" width="8.125" customWidth="1"/>
    <col min="12774" max="12774" width="8.75" customWidth="1"/>
    <col min="12775" max="12775" width="11" customWidth="1"/>
    <col min="12776" max="12776" width="2.875" customWidth="1"/>
    <col min="12777" max="12777" width="77.625" customWidth="1"/>
    <col min="12778" max="12778" width="20.875" customWidth="1"/>
    <col min="13028" max="13028" width="2.875" customWidth="1"/>
    <col min="13029" max="13029" width="8.125" customWidth="1"/>
    <col min="13030" max="13030" width="8.75" customWidth="1"/>
    <col min="13031" max="13031" width="11" customWidth="1"/>
    <col min="13032" max="13032" width="2.875" customWidth="1"/>
    <col min="13033" max="13033" width="77.625" customWidth="1"/>
    <col min="13034" max="13034" width="20.875" customWidth="1"/>
    <col min="13284" max="13284" width="2.875" customWidth="1"/>
    <col min="13285" max="13285" width="8.125" customWidth="1"/>
    <col min="13286" max="13286" width="8.75" customWidth="1"/>
    <col min="13287" max="13287" width="11" customWidth="1"/>
    <col min="13288" max="13288" width="2.875" customWidth="1"/>
    <col min="13289" max="13289" width="77.625" customWidth="1"/>
    <col min="13290" max="13290" width="20.875" customWidth="1"/>
    <col min="13540" max="13540" width="2.875" customWidth="1"/>
    <col min="13541" max="13541" width="8.125" customWidth="1"/>
    <col min="13542" max="13542" width="8.75" customWidth="1"/>
    <col min="13543" max="13543" width="11" customWidth="1"/>
    <col min="13544" max="13544" width="2.875" customWidth="1"/>
    <col min="13545" max="13545" width="77.625" customWidth="1"/>
    <col min="13546" max="13546" width="20.875" customWidth="1"/>
    <col min="13796" max="13796" width="2.875" customWidth="1"/>
    <col min="13797" max="13797" width="8.125" customWidth="1"/>
    <col min="13798" max="13798" width="8.75" customWidth="1"/>
    <col min="13799" max="13799" width="11" customWidth="1"/>
    <col min="13800" max="13800" width="2.875" customWidth="1"/>
    <col min="13801" max="13801" width="77.625" customWidth="1"/>
    <col min="13802" max="13802" width="20.875" customWidth="1"/>
    <col min="14052" max="14052" width="2.875" customWidth="1"/>
    <col min="14053" max="14053" width="8.125" customWidth="1"/>
    <col min="14054" max="14054" width="8.75" customWidth="1"/>
    <col min="14055" max="14055" width="11" customWidth="1"/>
    <col min="14056" max="14056" width="2.875" customWidth="1"/>
    <col min="14057" max="14057" width="77.625" customWidth="1"/>
    <col min="14058" max="14058" width="20.875" customWidth="1"/>
    <col min="14308" max="14308" width="2.875" customWidth="1"/>
    <col min="14309" max="14309" width="8.125" customWidth="1"/>
    <col min="14310" max="14310" width="8.75" customWidth="1"/>
    <col min="14311" max="14311" width="11" customWidth="1"/>
    <col min="14312" max="14312" width="2.875" customWidth="1"/>
    <col min="14313" max="14313" width="77.625" customWidth="1"/>
    <col min="14314" max="14314" width="20.875" customWidth="1"/>
    <col min="14564" max="14564" width="2.875" customWidth="1"/>
    <col min="14565" max="14565" width="8.125" customWidth="1"/>
    <col min="14566" max="14566" width="8.75" customWidth="1"/>
    <col min="14567" max="14567" width="11" customWidth="1"/>
    <col min="14568" max="14568" width="2.875" customWidth="1"/>
    <col min="14569" max="14569" width="77.625" customWidth="1"/>
    <col min="14570" max="14570" width="20.875" customWidth="1"/>
    <col min="14820" max="14820" width="2.875" customWidth="1"/>
    <col min="14821" max="14821" width="8.125" customWidth="1"/>
    <col min="14822" max="14822" width="8.75" customWidth="1"/>
    <col min="14823" max="14823" width="11" customWidth="1"/>
    <col min="14824" max="14824" width="2.875" customWidth="1"/>
    <col min="14825" max="14825" width="77.625" customWidth="1"/>
    <col min="14826" max="14826" width="20.875" customWidth="1"/>
    <col min="15076" max="15076" width="2.875" customWidth="1"/>
    <col min="15077" max="15077" width="8.125" customWidth="1"/>
    <col min="15078" max="15078" width="8.75" customWidth="1"/>
    <col min="15079" max="15079" width="11" customWidth="1"/>
    <col min="15080" max="15080" width="2.875" customWidth="1"/>
    <col min="15081" max="15081" width="77.625" customWidth="1"/>
    <col min="15082" max="15082" width="20.875" customWidth="1"/>
    <col min="15332" max="15332" width="2.875" customWidth="1"/>
    <col min="15333" max="15333" width="8.125" customWidth="1"/>
    <col min="15334" max="15334" width="8.75" customWidth="1"/>
    <col min="15335" max="15335" width="11" customWidth="1"/>
    <col min="15336" max="15336" width="2.875" customWidth="1"/>
    <col min="15337" max="15337" width="77.625" customWidth="1"/>
    <col min="15338" max="15338" width="20.875" customWidth="1"/>
    <col min="15588" max="15588" width="2.875" customWidth="1"/>
    <col min="15589" max="15589" width="8.125" customWidth="1"/>
    <col min="15590" max="15590" width="8.75" customWidth="1"/>
    <col min="15591" max="15591" width="11" customWidth="1"/>
    <col min="15592" max="15592" width="2.875" customWidth="1"/>
    <col min="15593" max="15593" width="77.625" customWidth="1"/>
    <col min="15594" max="15594" width="20.875" customWidth="1"/>
    <col min="15844" max="15844" width="2.875" customWidth="1"/>
    <col min="15845" max="15845" width="8.125" customWidth="1"/>
    <col min="15846" max="15846" width="8.75" customWidth="1"/>
    <col min="15847" max="15847" width="11" customWidth="1"/>
    <col min="15848" max="15848" width="2.875" customWidth="1"/>
    <col min="15849" max="15849" width="77.625" customWidth="1"/>
    <col min="15850" max="15850" width="20.875" customWidth="1"/>
    <col min="16100" max="16100" width="2.875" customWidth="1"/>
    <col min="16101" max="16101" width="8.125" customWidth="1"/>
    <col min="16102" max="16102" width="8.75" customWidth="1"/>
    <col min="16103" max="16103" width="11" customWidth="1"/>
    <col min="16104" max="16104" width="2.875" customWidth="1"/>
    <col min="16105" max="16105" width="77.625" customWidth="1"/>
    <col min="16106" max="16106" width="20.875" customWidth="1"/>
  </cols>
  <sheetData>
    <row r="1" spans="1:34" ht="22.5" customHeight="1" x14ac:dyDescent="0.4">
      <c r="A1" s="46" t="s">
        <v>93</v>
      </c>
      <c r="B1" s="47"/>
      <c r="C1" s="48"/>
      <c r="D1" s="48"/>
      <c r="E1" s="48"/>
      <c r="F1" s="47"/>
      <c r="G1" s="47"/>
      <c r="H1" s="47"/>
      <c r="I1" s="47"/>
      <c r="J1" s="47"/>
      <c r="K1" s="47"/>
      <c r="L1" s="47"/>
    </row>
    <row r="2" spans="1:34" ht="22.5" customHeight="1" x14ac:dyDescent="0.4">
      <c r="A2" s="46" t="s">
        <v>589</v>
      </c>
      <c r="B2" s="47"/>
      <c r="C2" s="48"/>
      <c r="D2" s="48"/>
      <c r="E2" s="48"/>
      <c r="F2" s="47"/>
      <c r="G2" s="47"/>
      <c r="H2" s="47"/>
      <c r="I2" s="47"/>
      <c r="J2" s="47"/>
      <c r="K2" s="47"/>
      <c r="L2" s="47"/>
    </row>
    <row r="3" spans="1:34" s="50" customFormat="1" ht="5.25" customHeight="1" thickBot="1" x14ac:dyDescent="0.25">
      <c r="A3" s="49"/>
      <c r="B3" s="49"/>
      <c r="C3" s="49"/>
      <c r="D3" s="49"/>
      <c r="E3" s="49"/>
      <c r="F3" s="49"/>
    </row>
    <row r="4" spans="1:34" s="53" customFormat="1" ht="24.75" customHeight="1" thickTop="1" thickBot="1" x14ac:dyDescent="0.25">
      <c r="A4" s="51" t="s">
        <v>107</v>
      </c>
      <c r="B4" s="51"/>
      <c r="C4" s="51"/>
      <c r="D4" s="51"/>
      <c r="E4" s="51"/>
      <c r="F4" s="51"/>
      <c r="G4" s="327"/>
      <c r="H4" s="52"/>
      <c r="I4" s="52"/>
      <c r="J4" s="52"/>
      <c r="K4" s="52"/>
      <c r="L4" s="52"/>
      <c r="M4" s="52"/>
      <c r="N4" s="52"/>
      <c r="O4" s="52"/>
      <c r="P4" s="52"/>
      <c r="Q4" s="52"/>
      <c r="R4" s="52"/>
      <c r="S4" s="52"/>
      <c r="T4" s="52"/>
      <c r="U4" s="52"/>
      <c r="V4" s="52"/>
      <c r="W4" s="52"/>
      <c r="X4" s="52"/>
      <c r="Y4" s="52"/>
      <c r="Z4" s="52"/>
      <c r="AA4" s="52"/>
      <c r="AB4" s="52"/>
      <c r="AC4" s="52"/>
      <c r="AD4" s="52"/>
      <c r="AE4" s="52"/>
      <c r="AF4" s="52"/>
      <c r="AG4" s="52"/>
      <c r="AH4" s="52"/>
    </row>
    <row r="5" spans="1:34" s="55" customFormat="1" ht="8.25" customHeight="1" thickTop="1" x14ac:dyDescent="0.2">
      <c r="A5" s="54"/>
      <c r="B5" s="54"/>
      <c r="C5" s="54"/>
      <c r="D5" s="54"/>
      <c r="E5" s="54"/>
      <c r="F5" s="54"/>
    </row>
    <row r="6" spans="1:34" ht="21" thickBot="1" x14ac:dyDescent="0.35">
      <c r="A6" s="56"/>
      <c r="B6" s="120" t="s">
        <v>592</v>
      </c>
      <c r="C6" s="120"/>
      <c r="D6" s="120"/>
      <c r="E6" s="120"/>
      <c r="F6" s="120"/>
      <c r="G6" s="231"/>
    </row>
    <row r="7" spans="1:34" ht="20.25" x14ac:dyDescent="0.3">
      <c r="A7" s="56"/>
      <c r="B7" s="56"/>
      <c r="C7" s="733" t="s">
        <v>597</v>
      </c>
      <c r="D7" s="56"/>
      <c r="E7" s="56"/>
      <c r="F7" s="56"/>
      <c r="G7" s="734">
        <v>28150</v>
      </c>
    </row>
    <row r="8" spans="1:34" ht="20.25" x14ac:dyDescent="0.3">
      <c r="A8" s="56"/>
      <c r="B8" s="56"/>
      <c r="C8" s="733" t="s">
        <v>20</v>
      </c>
      <c r="D8" s="56"/>
      <c r="E8" s="56"/>
      <c r="F8" s="56"/>
      <c r="G8" s="735">
        <v>700</v>
      </c>
    </row>
    <row r="9" spans="1:34" s="55" customFormat="1" ht="20.25" x14ac:dyDescent="0.2">
      <c r="A9" s="54"/>
      <c r="B9" s="54"/>
      <c r="C9" s="58" t="s">
        <v>590</v>
      </c>
      <c r="D9" s="58"/>
      <c r="E9" s="58"/>
      <c r="F9" s="54"/>
      <c r="G9" s="736">
        <v>350</v>
      </c>
    </row>
    <row r="10" spans="1:34" s="55" customFormat="1" ht="21" thickBot="1" x14ac:dyDescent="0.25">
      <c r="A10" s="54"/>
      <c r="B10" s="54"/>
      <c r="C10" s="58"/>
      <c r="D10" s="54" t="s">
        <v>591</v>
      </c>
      <c r="E10" s="58"/>
      <c r="F10" s="54"/>
      <c r="G10" s="737">
        <f>SUM(G7:G9)</f>
        <v>29200</v>
      </c>
    </row>
    <row r="11" spans="1:34" s="55" customFormat="1" ht="6" customHeight="1" x14ac:dyDescent="0.2">
      <c r="A11" s="54"/>
      <c r="B11" s="54"/>
      <c r="C11" s="58"/>
      <c r="D11" s="54"/>
      <c r="E11" s="58"/>
      <c r="F11" s="54"/>
      <c r="G11" s="738"/>
    </row>
    <row r="12" spans="1:34" s="55" customFormat="1" ht="21" thickBot="1" x14ac:dyDescent="0.25">
      <c r="A12" s="54"/>
      <c r="B12" s="66" t="s">
        <v>110</v>
      </c>
      <c r="C12" s="66"/>
      <c r="D12" s="66"/>
      <c r="E12" s="66"/>
      <c r="F12" s="66"/>
      <c r="G12" s="739"/>
    </row>
    <row r="13" spans="1:34" s="55" customFormat="1" ht="20.25" x14ac:dyDescent="0.2">
      <c r="A13" s="54"/>
      <c r="B13" s="54"/>
      <c r="C13" s="58" t="s">
        <v>115</v>
      </c>
      <c r="D13" s="58"/>
      <c r="E13" s="58"/>
      <c r="F13" s="58"/>
      <c r="G13" s="738">
        <v>358</v>
      </c>
    </row>
    <row r="14" spans="1:34" s="55" customFormat="1" ht="20.25" x14ac:dyDescent="0.2">
      <c r="A14" s="54"/>
      <c r="B14" s="54"/>
      <c r="C14" s="58" t="s">
        <v>577</v>
      </c>
      <c r="D14" s="58"/>
      <c r="E14" s="58"/>
      <c r="F14" s="58"/>
      <c r="G14" s="738">
        <f>138.88+23.62</f>
        <v>162.5</v>
      </c>
    </row>
    <row r="15" spans="1:34" s="55" customFormat="1" ht="20.25" x14ac:dyDescent="0.2">
      <c r="A15" s="54"/>
      <c r="B15" s="54"/>
      <c r="C15" s="58" t="s">
        <v>119</v>
      </c>
      <c r="D15" s="58"/>
      <c r="E15" s="58"/>
      <c r="F15" s="58"/>
      <c r="G15" s="738">
        <v>1038.6199999999999</v>
      </c>
    </row>
    <row r="16" spans="1:34" s="55" customFormat="1" ht="20.25" x14ac:dyDescent="0.2">
      <c r="A16" s="54"/>
      <c r="B16" s="54"/>
      <c r="C16" s="58" t="s">
        <v>593</v>
      </c>
      <c r="D16" s="58"/>
      <c r="E16" s="58"/>
      <c r="F16" s="58"/>
      <c r="G16" s="738">
        <v>50</v>
      </c>
    </row>
    <row r="17" spans="1:7" s="55" customFormat="1" ht="20.25" x14ac:dyDescent="0.2">
      <c r="A17" s="58"/>
      <c r="B17" s="58"/>
      <c r="C17" s="58" t="s">
        <v>594</v>
      </c>
      <c r="D17" s="58"/>
      <c r="E17" s="58"/>
      <c r="F17" s="58"/>
      <c r="G17" s="738">
        <f>2872.5</f>
        <v>2872.5</v>
      </c>
    </row>
    <row r="18" spans="1:7" s="55" customFormat="1" ht="20.25" x14ac:dyDescent="0.2">
      <c r="A18" s="58"/>
      <c r="B18" s="58"/>
      <c r="C18" s="58" t="s">
        <v>595</v>
      </c>
      <c r="D18" s="58"/>
      <c r="E18" s="58"/>
      <c r="F18" s="58"/>
      <c r="G18" s="738">
        <v>48</v>
      </c>
    </row>
    <row r="19" spans="1:7" s="55" customFormat="1" ht="20.25" x14ac:dyDescent="0.2">
      <c r="A19" s="58"/>
      <c r="B19" s="58"/>
      <c r="C19" s="58" t="s">
        <v>578</v>
      </c>
      <c r="D19" s="58"/>
      <c r="E19" s="58"/>
      <c r="F19" s="58"/>
      <c r="G19" s="738">
        <v>10125</v>
      </c>
    </row>
    <row r="20" spans="1:7" s="55" customFormat="1" ht="20.25" hidden="1" x14ac:dyDescent="0.2">
      <c r="A20" s="58"/>
      <c r="B20" s="58"/>
      <c r="C20" s="58"/>
      <c r="D20" s="58"/>
      <c r="E20" s="58"/>
      <c r="F20" s="58"/>
      <c r="G20" s="738"/>
    </row>
    <row r="21" spans="1:7" s="55" customFormat="1" ht="20.25" x14ac:dyDescent="0.2">
      <c r="A21" s="54"/>
      <c r="B21" s="54"/>
      <c r="C21" s="54"/>
      <c r="D21" s="54" t="s">
        <v>127</v>
      </c>
      <c r="E21" s="54"/>
      <c r="F21" s="54"/>
      <c r="G21" s="740">
        <f>SUM(G13:G19)</f>
        <v>14654.619999999999</v>
      </c>
    </row>
    <row r="22" spans="1:7" s="55" customFormat="1" ht="10.5" customHeight="1" x14ac:dyDescent="0.2">
      <c r="A22" s="54"/>
      <c r="B22" s="54"/>
      <c r="C22" s="54"/>
      <c r="D22" s="54"/>
      <c r="E22" s="54"/>
      <c r="F22" s="54"/>
      <c r="G22" s="193"/>
    </row>
    <row r="23" spans="1:7" s="55" customFormat="1" ht="20.25" x14ac:dyDescent="0.2">
      <c r="A23" s="54"/>
      <c r="B23" s="54"/>
      <c r="C23" s="54"/>
      <c r="D23" s="741" t="s">
        <v>596</v>
      </c>
      <c r="E23" s="741"/>
      <c r="F23" s="741"/>
      <c r="G23" s="201">
        <f>G10-G21</f>
        <v>14545.380000000001</v>
      </c>
    </row>
    <row r="24" spans="1:7" s="55" customFormat="1" ht="11.25" customHeight="1" x14ac:dyDescent="0.2">
      <c r="A24" s="54"/>
      <c r="B24" s="54"/>
      <c r="C24" s="54"/>
      <c r="D24" s="54"/>
      <c r="E24" s="54"/>
      <c r="F24" s="54"/>
      <c r="G24" s="193"/>
    </row>
    <row r="25" spans="1:7" s="52" customFormat="1" ht="6.75" customHeight="1" x14ac:dyDescent="0.2">
      <c r="A25" s="219"/>
      <c r="B25" s="219"/>
      <c r="C25" s="54"/>
      <c r="D25" s="219"/>
      <c r="E25" s="219"/>
      <c r="F25" s="219"/>
      <c r="G25" s="221"/>
    </row>
    <row r="26" spans="1:7" s="55" customFormat="1" ht="16.5" customHeight="1" x14ac:dyDescent="0.2">
      <c r="A26" s="54"/>
      <c r="B26" s="54"/>
      <c r="D26" s="286"/>
      <c r="E26" s="54"/>
      <c r="G26" s="193"/>
    </row>
    <row r="27" spans="1:7" s="55" customFormat="1" ht="23.25" x14ac:dyDescent="0.2">
      <c r="A27" s="54"/>
      <c r="B27" s="222"/>
      <c r="C27" s="54"/>
      <c r="D27" s="54"/>
      <c r="E27" s="54"/>
      <c r="F27" s="54"/>
      <c r="G27" s="193"/>
    </row>
    <row r="28" spans="1:7" s="55" customFormat="1" ht="20.25" x14ac:dyDescent="0.2">
      <c r="A28" s="54"/>
      <c r="B28" s="54"/>
      <c r="C28" s="54"/>
      <c r="D28" s="54"/>
      <c r="E28" s="54"/>
      <c r="F28" s="54"/>
      <c r="G28" s="193"/>
    </row>
    <row r="29" spans="1:7" s="55" customFormat="1" ht="20.25" x14ac:dyDescent="0.2">
      <c r="A29" s="58"/>
      <c r="B29" s="58"/>
      <c r="C29" s="58"/>
      <c r="D29" s="58"/>
      <c r="F29" s="58"/>
      <c r="G29" s="193"/>
    </row>
    <row r="30" spans="1:7" s="55" customFormat="1" ht="20.25" x14ac:dyDescent="0.2">
      <c r="A30" s="58"/>
      <c r="B30" s="58"/>
      <c r="C30" s="58"/>
      <c r="D30" s="58"/>
      <c r="F30" s="58"/>
      <c r="G30" s="193"/>
    </row>
    <row r="31" spans="1:7" s="55" customFormat="1" ht="20.25" x14ac:dyDescent="0.2">
      <c r="A31" s="58"/>
      <c r="B31" s="58"/>
      <c r="C31" s="58"/>
      <c r="D31" s="58"/>
      <c r="F31" s="58"/>
      <c r="G31" s="193"/>
    </row>
    <row r="32" spans="1:7" s="55" customFormat="1" ht="20.25" x14ac:dyDescent="0.2">
      <c r="A32" s="58"/>
      <c r="B32" s="58"/>
      <c r="C32" s="58"/>
      <c r="D32" s="58"/>
      <c r="F32" s="58"/>
      <c r="G32" s="193"/>
    </row>
    <row r="33" spans="1:7" s="55" customFormat="1" ht="20.25" x14ac:dyDescent="0.2">
      <c r="A33" s="58"/>
      <c r="B33" s="58"/>
      <c r="C33" s="58"/>
      <c r="D33" s="58"/>
      <c r="F33" s="58"/>
      <c r="G33" s="193"/>
    </row>
    <row r="34" spans="1:7" s="55" customFormat="1" ht="20.25" x14ac:dyDescent="0.2">
      <c r="A34" s="58"/>
      <c r="B34" s="58"/>
      <c r="C34" s="58"/>
      <c r="D34" s="58"/>
      <c r="F34" s="58"/>
      <c r="G34" s="193"/>
    </row>
    <row r="35" spans="1:7" s="55" customFormat="1" ht="20.25" x14ac:dyDescent="0.2">
      <c r="A35" s="58"/>
      <c r="B35" s="58"/>
      <c r="C35" s="54"/>
      <c r="D35" s="58"/>
      <c r="F35" s="58"/>
      <c r="G35" s="193"/>
    </row>
    <row r="36" spans="1:7" s="55" customFormat="1" ht="20.25" x14ac:dyDescent="0.2">
      <c r="A36" s="58"/>
      <c r="B36" s="58"/>
      <c r="C36" s="58"/>
      <c r="D36" s="58"/>
      <c r="E36" s="58"/>
      <c r="F36" s="58"/>
      <c r="G36" s="193"/>
    </row>
    <row r="37" spans="1:7" s="55" customFormat="1" ht="20.25" x14ac:dyDescent="0.2">
      <c r="A37" s="58"/>
      <c r="B37" s="58"/>
      <c r="C37" s="54"/>
      <c r="D37" s="54"/>
      <c r="G37" s="193"/>
    </row>
    <row r="38" spans="1:7" s="55" customFormat="1" ht="20.25" x14ac:dyDescent="0.2">
      <c r="A38" s="58"/>
      <c r="B38" s="58"/>
      <c r="C38" s="58"/>
      <c r="D38" s="58"/>
      <c r="E38" s="58"/>
      <c r="F38" s="58"/>
      <c r="G38" s="193"/>
    </row>
    <row r="39" spans="1:7" s="55" customFormat="1" ht="20.25" x14ac:dyDescent="0.2">
      <c r="A39" s="58"/>
      <c r="B39" s="58"/>
      <c r="C39" s="58"/>
      <c r="D39" s="58"/>
      <c r="E39" s="58"/>
      <c r="F39" s="58"/>
      <c r="G39" s="193"/>
    </row>
    <row r="40" spans="1:7" s="55" customFormat="1" ht="20.25" x14ac:dyDescent="0.2">
      <c r="A40" s="58"/>
      <c r="B40" s="58"/>
      <c r="C40" s="58"/>
      <c r="D40" s="58"/>
      <c r="E40" s="58"/>
      <c r="F40" s="58"/>
      <c r="G40" s="193"/>
    </row>
    <row r="41" spans="1:7" s="55" customFormat="1" ht="20.25" x14ac:dyDescent="0.2">
      <c r="A41" s="58"/>
      <c r="B41" s="58"/>
      <c r="C41" s="58"/>
      <c r="D41" s="58"/>
      <c r="E41" s="58"/>
      <c r="F41" s="58"/>
      <c r="G41" s="193"/>
    </row>
    <row r="42" spans="1:7" s="55" customFormat="1" ht="20.25" x14ac:dyDescent="0.2">
      <c r="A42" s="58"/>
      <c r="B42" s="58"/>
      <c r="C42" s="54"/>
      <c r="D42" s="58"/>
      <c r="F42" s="58"/>
      <c r="G42" s="193"/>
    </row>
    <row r="43" spans="1:7" s="55" customFormat="1" ht="20.25" x14ac:dyDescent="0.2">
      <c r="A43" s="58"/>
      <c r="B43" s="58"/>
      <c r="C43" s="58"/>
      <c r="D43" s="58"/>
      <c r="E43" s="58"/>
      <c r="F43" s="58"/>
      <c r="G43" s="193"/>
    </row>
    <row r="44" spans="1:7" s="55" customFormat="1" ht="20.25" x14ac:dyDescent="0.2">
      <c r="A44" s="54"/>
      <c r="B44" s="54"/>
      <c r="C44" s="54"/>
      <c r="D44" s="54"/>
      <c r="E44" s="54"/>
      <c r="F44" s="54"/>
      <c r="G44" s="196"/>
    </row>
    <row r="45" spans="1:7" s="55" customFormat="1" ht="20.25" x14ac:dyDescent="0.2">
      <c r="A45" s="54"/>
      <c r="B45" s="54"/>
      <c r="C45" s="54"/>
      <c r="D45" s="54"/>
      <c r="E45" s="54"/>
      <c r="F45" s="54"/>
      <c r="G45" s="196"/>
    </row>
    <row r="46" spans="1:7" s="55" customFormat="1" ht="23.25" x14ac:dyDescent="0.2">
      <c r="A46" s="54"/>
      <c r="B46" s="222"/>
      <c r="C46" s="54"/>
      <c r="D46" s="54"/>
      <c r="E46" s="54"/>
      <c r="F46" s="54"/>
      <c r="G46" s="193"/>
    </row>
    <row r="47" spans="1:7" s="55" customFormat="1" ht="20.25" x14ac:dyDescent="0.2">
      <c r="A47" s="58"/>
      <c r="B47" s="58"/>
      <c r="D47" s="58"/>
      <c r="E47" s="58"/>
      <c r="F47" s="58"/>
      <c r="G47" s="193"/>
    </row>
    <row r="48" spans="1:7" s="55" customFormat="1" ht="20.25" x14ac:dyDescent="0.2">
      <c r="A48" s="58"/>
      <c r="B48" s="58"/>
      <c r="D48" s="58"/>
      <c r="E48" s="58"/>
      <c r="F48" s="58"/>
      <c r="G48" s="193"/>
    </row>
    <row r="49" spans="1:7" s="55" customFormat="1" ht="20.25" x14ac:dyDescent="0.2">
      <c r="A49" s="54"/>
      <c r="B49" s="54"/>
      <c r="D49" s="58"/>
      <c r="E49" s="54"/>
      <c r="F49" s="54"/>
      <c r="G49" s="193"/>
    </row>
    <row r="50" spans="1:7" s="55" customFormat="1" ht="23.25" x14ac:dyDescent="0.2">
      <c r="A50" s="54"/>
      <c r="B50" s="222"/>
      <c r="C50" s="54"/>
      <c r="D50" s="54"/>
      <c r="E50" s="54"/>
      <c r="F50" s="54"/>
      <c r="G50" s="196"/>
    </row>
    <row r="51" spans="1:7" s="55" customFormat="1" ht="20.25" x14ac:dyDescent="0.2">
      <c r="A51" s="54"/>
      <c r="B51" s="54"/>
      <c r="C51" s="54"/>
      <c r="D51" s="54"/>
      <c r="E51" s="54"/>
      <c r="F51" s="54"/>
      <c r="G51" s="193"/>
    </row>
    <row r="52" spans="1:7" s="62" customFormat="1" ht="26.25" x14ac:dyDescent="0.2">
      <c r="A52" s="219"/>
      <c r="B52" s="219"/>
      <c r="C52" s="219"/>
      <c r="D52" s="219"/>
      <c r="E52" s="219"/>
      <c r="F52" s="219"/>
      <c r="G52" s="196"/>
    </row>
    <row r="53" spans="1:7" ht="20.25" x14ac:dyDescent="0.3">
      <c r="G53" s="227"/>
    </row>
    <row r="54" spans="1:7" ht="20.25" x14ac:dyDescent="0.3">
      <c r="G54" s="227"/>
    </row>
    <row r="55" spans="1:7" ht="20.25" x14ac:dyDescent="0.3">
      <c r="G55" s="227"/>
    </row>
    <row r="56" spans="1:7" ht="20.25" x14ac:dyDescent="0.3">
      <c r="G56" s="224"/>
    </row>
  </sheetData>
  <pageMargins left="0.7" right="0.7" top="0.75" bottom="0.75" header="0.3" footer="0.3"/>
  <pageSetup orientation="portrait" horizontalDpi="0" verticalDpi="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I86"/>
  <sheetViews>
    <sheetView zoomScale="75" zoomScaleNormal="75" workbookViewId="0">
      <selection activeCell="J68" sqref="J68"/>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5.625" style="45" customWidth="1"/>
    <col min="7" max="7" width="22.25" style="190" hidden="1" customWidth="1"/>
    <col min="8" max="8" width="23.125" hidden="1" customWidth="1"/>
    <col min="9" max="9" width="1.625" customWidth="1"/>
    <col min="10" max="10" width="26.875" customWidth="1"/>
    <col min="11" max="11" width="24.5" customWidth="1"/>
    <col min="12" max="12" width="1.625" customWidth="1"/>
    <col min="13" max="13" width="23.125" customWidth="1"/>
    <col min="14" max="14" width="1.75" customWidth="1"/>
    <col min="15" max="15" width="15.25" bestFit="1" customWidth="1"/>
    <col min="16" max="16" width="10.625" customWidth="1"/>
    <col min="18" max="18" width="16.875" bestFit="1" customWidth="1"/>
    <col min="19" max="19" width="10" bestFit="1" customWidth="1"/>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61" ht="22.5" customHeight="1" x14ac:dyDescent="0.4">
      <c r="A1" s="46" t="s">
        <v>93</v>
      </c>
      <c r="B1" s="47"/>
      <c r="C1" s="48"/>
      <c r="D1" s="48"/>
      <c r="E1" s="48"/>
      <c r="F1" s="47"/>
      <c r="G1" s="191"/>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row>
    <row r="2" spans="1:61" ht="22.5" customHeight="1" x14ac:dyDescent="0.4">
      <c r="A2" s="46" t="s">
        <v>212</v>
      </c>
      <c r="B2" s="47"/>
      <c r="C2" s="48"/>
      <c r="D2" s="48"/>
      <c r="E2" s="48"/>
      <c r="F2" s="47"/>
      <c r="G2" s="191"/>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row>
    <row r="3" spans="1:61" ht="21.75" customHeight="1" x14ac:dyDescent="0.4">
      <c r="A3" s="46" t="str">
        <f>'April''24 State of Activities'!A3</f>
        <v>Four Months Ended April 30, 2024 and 2023</v>
      </c>
      <c r="B3" s="47"/>
      <c r="C3" s="48"/>
      <c r="D3" s="48"/>
      <c r="E3" s="48"/>
      <c r="F3" s="47"/>
      <c r="G3" s="191"/>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row>
    <row r="4" spans="1:61" ht="22.5" customHeight="1" x14ac:dyDescent="0.4">
      <c r="A4" s="46" t="str">
        <f>'April''24 State of Activities'!A4</f>
        <v xml:space="preserve">For the Years Ended December 31, 2023 </v>
      </c>
      <c r="B4" s="47"/>
      <c r="C4" s="48"/>
      <c r="D4" s="48"/>
      <c r="E4" s="48"/>
      <c r="F4" s="47"/>
      <c r="G4" s="191"/>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row>
    <row r="5" spans="1:61" s="50" customFormat="1" ht="8.25" customHeight="1" thickBot="1" x14ac:dyDescent="0.25">
      <c r="A5" s="49"/>
      <c r="B5" s="49"/>
      <c r="C5" s="49"/>
      <c r="D5" s="49"/>
      <c r="E5" s="49"/>
      <c r="F5" s="49"/>
      <c r="G5" s="192"/>
    </row>
    <row r="6" spans="1:61" s="53" customFormat="1" ht="24.75" customHeight="1" thickTop="1" thickBot="1" x14ac:dyDescent="0.25">
      <c r="A6" s="51" t="s">
        <v>107</v>
      </c>
      <c r="B6" s="51"/>
      <c r="C6" s="51"/>
      <c r="D6" s="51"/>
      <c r="E6" s="51"/>
      <c r="F6" s="51"/>
      <c r="G6" s="327"/>
      <c r="H6" s="199" t="s">
        <v>49</v>
      </c>
      <c r="I6" s="199"/>
      <c r="J6" s="787" t="s">
        <v>49</v>
      </c>
      <c r="K6" s="787"/>
      <c r="L6" s="787"/>
      <c r="M6" s="787"/>
      <c r="N6" s="52"/>
      <c r="O6" s="336" t="s">
        <v>180</v>
      </c>
      <c r="P6" s="333" t="s">
        <v>192</v>
      </c>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row>
    <row r="7" spans="1:61" s="55" customFormat="1" ht="8.25" customHeight="1" thickTop="1" x14ac:dyDescent="0.2">
      <c r="A7" s="54"/>
      <c r="B7" s="54"/>
      <c r="C7" s="54"/>
      <c r="D7" s="54"/>
      <c r="E7" s="54"/>
      <c r="F7" s="54"/>
      <c r="G7" s="193"/>
    </row>
    <row r="8" spans="1:61" ht="21" thickBot="1" x14ac:dyDescent="0.35">
      <c r="A8" s="56"/>
      <c r="B8" s="120" t="s">
        <v>99</v>
      </c>
      <c r="C8" s="120"/>
      <c r="D8" s="120"/>
      <c r="E8" s="120"/>
      <c r="F8" s="120"/>
      <c r="G8" s="231">
        <v>41090</v>
      </c>
      <c r="H8" s="231">
        <v>41274</v>
      </c>
      <c r="I8" s="271"/>
      <c r="J8" s="231">
        <f>'April''24 State of Activities'!G8</f>
        <v>45412</v>
      </c>
      <c r="K8" s="542">
        <v>45291</v>
      </c>
      <c r="L8" s="271"/>
      <c r="M8" s="542">
        <f>'April''24 State of Activities'!J8</f>
        <v>45046</v>
      </c>
      <c r="O8" s="852" t="s">
        <v>674</v>
      </c>
      <c r="P8" s="852"/>
    </row>
    <row r="9" spans="1:61" s="55" customFormat="1" ht="20.25" x14ac:dyDescent="0.2">
      <c r="A9" s="54"/>
      <c r="B9" s="54"/>
      <c r="C9" s="58" t="s">
        <v>149</v>
      </c>
      <c r="D9" s="58"/>
      <c r="E9" s="58"/>
      <c r="F9" s="54"/>
      <c r="G9" s="193">
        <v>127719</v>
      </c>
      <c r="H9" s="193">
        <v>67566.5</v>
      </c>
      <c r="I9" s="193"/>
      <c r="J9" s="202">
        <f>'April''24 State of Activities'!G10</f>
        <v>48868.62</v>
      </c>
      <c r="K9" s="202">
        <f>'April''24 State of Activities'!H10</f>
        <v>131259.47</v>
      </c>
      <c r="L9" s="202"/>
      <c r="M9" s="202">
        <f>'April''24 State of Activities'!J10</f>
        <v>40539.47</v>
      </c>
      <c r="O9" s="317">
        <f>J9-M9</f>
        <v>8329.1500000000015</v>
      </c>
      <c r="P9" s="334">
        <f>O9/M9</f>
        <v>0.20545779212209733</v>
      </c>
      <c r="R9" s="322"/>
    </row>
    <row r="10" spans="1:61" s="55" customFormat="1" ht="20.25" x14ac:dyDescent="0.2">
      <c r="A10" s="54"/>
      <c r="B10" s="54"/>
      <c r="C10" s="58" t="s">
        <v>213</v>
      </c>
      <c r="D10" s="58"/>
      <c r="E10" s="58"/>
      <c r="F10" s="54"/>
      <c r="G10" s="202">
        <v>875436</v>
      </c>
      <c r="H10" s="202">
        <v>372424.1</v>
      </c>
      <c r="I10" s="202"/>
      <c r="J10" s="193">
        <f>342*4</f>
        <v>1368</v>
      </c>
      <c r="K10" s="193">
        <v>8019</v>
      </c>
      <c r="L10" s="202"/>
      <c r="M10" s="193">
        <f>3622.02-M11</f>
        <v>1432</v>
      </c>
      <c r="O10" s="409">
        <f>J10-M10</f>
        <v>-64</v>
      </c>
      <c r="P10" s="334">
        <f>O10/M10</f>
        <v>-4.4692737430167599E-2</v>
      </c>
      <c r="R10" s="322"/>
    </row>
    <row r="11" spans="1:61" s="55" customFormat="1" ht="20.25" x14ac:dyDescent="0.2">
      <c r="A11" s="54"/>
      <c r="B11" s="54"/>
      <c r="C11" s="58" t="s">
        <v>387</v>
      </c>
      <c r="D11" s="58"/>
      <c r="E11" s="58"/>
      <c r="F11" s="54"/>
      <c r="G11" s="202"/>
      <c r="H11" s="202"/>
      <c r="I11" s="202"/>
      <c r="J11" s="193"/>
      <c r="K11" s="193">
        <v>15310</v>
      </c>
      <c r="L11" s="202"/>
      <c r="M11" s="193">
        <v>2190.02</v>
      </c>
      <c r="O11" s="409">
        <f>J11-M11</f>
        <v>-2190.02</v>
      </c>
      <c r="P11" s="334"/>
      <c r="R11" s="322"/>
    </row>
    <row r="12" spans="1:61" s="55" customFormat="1" ht="20.25" x14ac:dyDescent="0.2">
      <c r="A12" s="54"/>
      <c r="B12" s="54"/>
      <c r="C12" s="58" t="s">
        <v>101</v>
      </c>
      <c r="D12" s="58"/>
      <c r="E12" s="58"/>
      <c r="F12" s="54"/>
      <c r="G12" s="193"/>
      <c r="H12" s="193"/>
      <c r="I12" s="193"/>
      <c r="J12" s="193"/>
      <c r="K12" s="193"/>
      <c r="L12" s="193"/>
      <c r="M12" s="193"/>
      <c r="O12" s="409"/>
      <c r="P12" s="344"/>
    </row>
    <row r="13" spans="1:61" s="55" customFormat="1" ht="20.25" x14ac:dyDescent="0.2">
      <c r="A13" s="54"/>
      <c r="B13" s="54"/>
      <c r="D13" s="58" t="s">
        <v>214</v>
      </c>
      <c r="E13" s="58"/>
      <c r="F13" s="54"/>
      <c r="G13" s="193">
        <v>94235.25</v>
      </c>
      <c r="H13" s="193">
        <v>37190.379999999997</v>
      </c>
      <c r="I13" s="193"/>
      <c r="J13" s="193">
        <f>'April''24 Revenues &amp; Expenses'!I24</f>
        <v>16666.68</v>
      </c>
      <c r="K13" s="193">
        <v>47500</v>
      </c>
      <c r="L13" s="193"/>
      <c r="M13" s="193">
        <v>15833.32</v>
      </c>
      <c r="O13" s="409">
        <f t="shared" ref="O13:O29" si="0">J13-M13</f>
        <v>833.36000000000058</v>
      </c>
      <c r="P13" s="354">
        <f>O13/M13</f>
        <v>5.2633307480680021E-2</v>
      </c>
      <c r="R13" s="662"/>
      <c r="S13" s="386"/>
      <c r="T13" s="385"/>
      <c r="U13" s="385"/>
    </row>
    <row r="14" spans="1:61" s="55" customFormat="1" ht="20.25" x14ac:dyDescent="0.2">
      <c r="A14" s="54"/>
      <c r="B14" s="54"/>
      <c r="D14" s="58" t="s">
        <v>158</v>
      </c>
      <c r="E14" s="58"/>
      <c r="F14" s="54"/>
      <c r="G14" s="193"/>
      <c r="H14" s="193"/>
      <c r="I14" s="193"/>
      <c r="J14" s="193">
        <f>'April''24 Revenues &amp; Expenses'!I32</f>
        <v>6000</v>
      </c>
      <c r="K14" s="193">
        <v>18000</v>
      </c>
      <c r="L14" s="193"/>
      <c r="M14" s="193">
        <f>'April''24 State of Activities'!J16</f>
        <v>6000</v>
      </c>
      <c r="O14" s="409">
        <f t="shared" si="0"/>
        <v>0</v>
      </c>
      <c r="P14" s="354">
        <f>O14/M14</f>
        <v>0</v>
      </c>
      <c r="S14" s="318"/>
      <c r="T14" s="387"/>
      <c r="U14" s="58"/>
    </row>
    <row r="15" spans="1:61" s="55" customFormat="1" ht="20.25" x14ac:dyDescent="0.2">
      <c r="A15" s="54"/>
      <c r="B15" s="54"/>
      <c r="C15" s="58" t="s">
        <v>102</v>
      </c>
      <c r="D15" s="58"/>
      <c r="E15" s="58"/>
      <c r="F15" s="54"/>
      <c r="G15" s="193">
        <v>0</v>
      </c>
      <c r="H15" s="193">
        <v>3517</v>
      </c>
      <c r="I15" s="193"/>
      <c r="J15" s="193">
        <f>'April''24 State of Activities'!G18</f>
        <v>5893.7</v>
      </c>
      <c r="K15" s="193">
        <v>23822</v>
      </c>
      <c r="L15" s="193"/>
      <c r="M15" s="193">
        <f>'April''24 State of Activities'!J18</f>
        <v>9210.07</v>
      </c>
      <c r="O15" s="409">
        <f t="shared" si="0"/>
        <v>-3316.37</v>
      </c>
      <c r="P15" s="354">
        <f>O15/M15</f>
        <v>-0.36008086800643208</v>
      </c>
      <c r="S15" s="318"/>
      <c r="T15" s="387"/>
      <c r="U15" s="304"/>
    </row>
    <row r="16" spans="1:61" s="55" customFormat="1" ht="20.25" x14ac:dyDescent="0.2">
      <c r="A16" s="54"/>
      <c r="B16" s="54"/>
      <c r="C16" s="58" t="s">
        <v>585</v>
      </c>
      <c r="D16" s="58"/>
      <c r="E16" s="58"/>
      <c r="F16" s="54"/>
      <c r="G16" s="193"/>
      <c r="H16" s="193"/>
      <c r="I16" s="193"/>
      <c r="J16" s="193"/>
      <c r="K16" s="193">
        <v>25432</v>
      </c>
      <c r="L16" s="193"/>
      <c r="M16" s="193"/>
      <c r="O16" s="409">
        <f t="shared" si="0"/>
        <v>0</v>
      </c>
      <c r="P16" s="354"/>
      <c r="S16" s="318"/>
      <c r="T16" s="387"/>
      <c r="U16" s="304"/>
    </row>
    <row r="17" spans="1:21" s="55" customFormat="1" ht="20.25" x14ac:dyDescent="0.2">
      <c r="A17" s="54"/>
      <c r="B17" s="54"/>
      <c r="C17" s="58" t="s">
        <v>215</v>
      </c>
      <c r="D17" s="58"/>
      <c r="E17" s="58"/>
      <c r="F17" s="54"/>
      <c r="G17" s="193">
        <v>31459</v>
      </c>
      <c r="H17" s="193">
        <v>13920.35</v>
      </c>
      <c r="I17" s="193"/>
      <c r="J17" s="193">
        <f>'April''24 Revenues &amp; Expenses'!H49</f>
        <v>8067.55</v>
      </c>
      <c r="K17" s="193">
        <v>27500</v>
      </c>
      <c r="L17" s="193"/>
      <c r="M17" s="193">
        <v>9340.67</v>
      </c>
      <c r="O17" s="409">
        <f t="shared" si="0"/>
        <v>-1273.1199999999999</v>
      </c>
      <c r="P17" s="354">
        <f>O17/M17</f>
        <v>-0.13629857387103922</v>
      </c>
      <c r="S17" s="318"/>
      <c r="T17" s="387"/>
      <c r="U17" s="304"/>
    </row>
    <row r="18" spans="1:21" s="55" customFormat="1" ht="20.25" x14ac:dyDescent="0.2">
      <c r="A18" s="54"/>
      <c r="B18" s="54"/>
      <c r="C18" s="58" t="s">
        <v>377</v>
      </c>
      <c r="D18" s="58"/>
      <c r="E18" s="58"/>
      <c r="F18" s="54"/>
      <c r="G18" s="193"/>
      <c r="H18" s="193"/>
      <c r="I18" s="193"/>
      <c r="J18" s="193">
        <v>15861</v>
      </c>
      <c r="K18" s="193">
        <v>23872</v>
      </c>
      <c r="L18" s="193"/>
      <c r="M18" s="193">
        <v>8233.19</v>
      </c>
      <c r="O18" s="409">
        <f t="shared" si="0"/>
        <v>7627.8099999999995</v>
      </c>
      <c r="P18" s="334">
        <f>O18/M18</f>
        <v>0.92647078471406574</v>
      </c>
      <c r="S18" s="318"/>
      <c r="T18" s="387"/>
      <c r="U18" s="304"/>
    </row>
    <row r="19" spans="1:21" s="55" customFormat="1" ht="20.25" x14ac:dyDescent="0.2">
      <c r="A19" s="54"/>
      <c r="B19" s="54"/>
      <c r="C19" s="58" t="s">
        <v>389</v>
      </c>
      <c r="D19" s="58"/>
      <c r="E19" s="58"/>
      <c r="F19" s="54"/>
      <c r="G19" s="193"/>
      <c r="H19" s="193"/>
      <c r="I19" s="193"/>
      <c r="J19" s="193">
        <v>0</v>
      </c>
      <c r="K19" s="193">
        <v>50000</v>
      </c>
      <c r="L19" s="193"/>
      <c r="M19" s="193">
        <v>16666.68</v>
      </c>
      <c r="O19" s="409">
        <f t="shared" si="0"/>
        <v>-16666.68</v>
      </c>
      <c r="P19" s="334"/>
      <c r="S19" s="318"/>
      <c r="T19" s="387"/>
      <c r="U19" s="304"/>
    </row>
    <row r="20" spans="1:21" s="55" customFormat="1" ht="20.25" x14ac:dyDescent="0.2">
      <c r="A20" s="54"/>
      <c r="B20" s="54"/>
      <c r="C20" s="58" t="s">
        <v>560</v>
      </c>
      <c r="D20" s="58"/>
      <c r="E20" s="58"/>
      <c r="F20" s="54"/>
      <c r="G20" s="193"/>
      <c r="H20" s="193"/>
      <c r="I20" s="193"/>
      <c r="J20" s="193">
        <f>8333.34*2</f>
        <v>16666.68</v>
      </c>
      <c r="K20" s="193">
        <v>50000</v>
      </c>
      <c r="L20" s="193"/>
      <c r="M20" s="661">
        <v>0</v>
      </c>
      <c r="O20" s="409">
        <f t="shared" si="0"/>
        <v>16666.68</v>
      </c>
      <c r="P20" s="354"/>
      <c r="S20" s="318"/>
      <c r="T20" s="387"/>
      <c r="U20" s="304"/>
    </row>
    <row r="21" spans="1:21" s="55" customFormat="1" ht="20.25" x14ac:dyDescent="0.2">
      <c r="A21" s="54"/>
      <c r="B21" s="54"/>
      <c r="C21" s="58" t="s">
        <v>638</v>
      </c>
      <c r="D21" s="58"/>
      <c r="E21" s="58"/>
      <c r="F21" s="54"/>
      <c r="G21" s="193"/>
      <c r="H21" s="193"/>
      <c r="I21" s="193"/>
      <c r="J21" s="193">
        <f>'April''24 Revenues &amp; Expenses'!H60</f>
        <v>45364.49</v>
      </c>
      <c r="K21" s="193">
        <v>0</v>
      </c>
      <c r="L21" s="193"/>
      <c r="M21" s="661">
        <v>0</v>
      </c>
      <c r="O21" s="409">
        <f t="shared" si="0"/>
        <v>45364.49</v>
      </c>
      <c r="P21" s="354"/>
      <c r="S21" s="318"/>
      <c r="T21" s="387"/>
      <c r="U21" s="304"/>
    </row>
    <row r="22" spans="1:21" s="55" customFormat="1" ht="20.25" x14ac:dyDescent="0.2">
      <c r="A22" s="54"/>
      <c r="B22" s="54"/>
      <c r="C22" s="58" t="s">
        <v>333</v>
      </c>
      <c r="D22" s="58"/>
      <c r="E22" s="58"/>
      <c r="F22" s="54"/>
      <c r="G22" s="193"/>
      <c r="H22" s="193"/>
      <c r="I22" s="193"/>
      <c r="J22" s="193">
        <v>30</v>
      </c>
      <c r="K22" s="193">
        <v>150</v>
      </c>
      <c r="L22" s="193"/>
      <c r="M22" s="193">
        <v>90</v>
      </c>
      <c r="O22" s="409">
        <f t="shared" si="0"/>
        <v>-60</v>
      </c>
      <c r="P22" s="354"/>
      <c r="S22" s="318"/>
      <c r="T22" s="387"/>
      <c r="U22" s="304"/>
    </row>
    <row r="23" spans="1:21" s="55" customFormat="1" ht="20.25" customHeight="1" x14ac:dyDescent="0.2">
      <c r="A23" s="54"/>
      <c r="B23" s="54"/>
      <c r="C23" s="789" t="s">
        <v>561</v>
      </c>
      <c r="D23" s="789"/>
      <c r="E23" s="789"/>
      <c r="F23" s="789"/>
      <c r="G23" s="193"/>
      <c r="H23" s="193"/>
      <c r="I23" s="193"/>
      <c r="J23" s="193">
        <v>0</v>
      </c>
      <c r="K23" s="193">
        <v>940</v>
      </c>
      <c r="L23" s="193"/>
      <c r="M23" s="193">
        <v>529.58000000000004</v>
      </c>
      <c r="O23" s="409">
        <f t="shared" si="0"/>
        <v>-529.58000000000004</v>
      </c>
      <c r="P23" s="354"/>
      <c r="S23" s="318"/>
      <c r="T23" s="387"/>
      <c r="U23" s="304"/>
    </row>
    <row r="24" spans="1:21" s="55" customFormat="1" ht="20.25" x14ac:dyDescent="0.2">
      <c r="A24" s="54"/>
      <c r="B24" s="54"/>
      <c r="C24" s="58" t="s">
        <v>342</v>
      </c>
      <c r="D24" s="58"/>
      <c r="E24" s="58"/>
      <c r="F24" s="54"/>
      <c r="G24" s="193">
        <v>1125</v>
      </c>
      <c r="H24" s="193">
        <v>6050</v>
      </c>
      <c r="I24" s="193"/>
      <c r="J24" s="193">
        <v>0</v>
      </c>
      <c r="K24" s="193">
        <v>0</v>
      </c>
      <c r="L24" s="193"/>
      <c r="M24" s="193">
        <v>0</v>
      </c>
      <c r="O24" s="409">
        <f t="shared" si="0"/>
        <v>0</v>
      </c>
      <c r="P24" s="354"/>
    </row>
    <row r="25" spans="1:21" s="55" customFormat="1" ht="21" thickBot="1" x14ac:dyDescent="0.25">
      <c r="A25" s="54"/>
      <c r="B25" s="54"/>
      <c r="C25" s="58" t="s">
        <v>216</v>
      </c>
      <c r="D25" s="58"/>
      <c r="E25" s="58"/>
      <c r="F25" s="54"/>
      <c r="G25" s="200">
        <v>31250</v>
      </c>
      <c r="H25" s="200">
        <v>15624.98</v>
      </c>
      <c r="I25" s="193"/>
      <c r="J25" s="200">
        <f>'April''24 State of Activities'!G26*0.2</f>
        <v>3516</v>
      </c>
      <c r="K25" s="200">
        <f>'[3]December''21 State of Activities'!H26*0.2</f>
        <v>10548</v>
      </c>
      <c r="L25" s="193"/>
      <c r="M25" s="200">
        <f>'April''24 State of Activities'!J26*0.2</f>
        <v>3516</v>
      </c>
      <c r="O25" s="316">
        <f t="shared" si="0"/>
        <v>0</v>
      </c>
      <c r="P25" s="335">
        <v>0</v>
      </c>
    </row>
    <row r="26" spans="1:21" s="55" customFormat="1" ht="20.25" x14ac:dyDescent="0.2">
      <c r="A26" s="54"/>
      <c r="B26" s="54"/>
      <c r="C26" s="58"/>
      <c r="D26" s="54" t="s">
        <v>104</v>
      </c>
      <c r="E26" s="58"/>
      <c r="F26" s="54"/>
      <c r="G26" s="193">
        <v>1161224.25</v>
      </c>
      <c r="H26" s="193">
        <v>516293.30999999994</v>
      </c>
      <c r="I26" s="193"/>
      <c r="J26" s="193">
        <f>SUM(J9:J25)</f>
        <v>168302.72</v>
      </c>
      <c r="K26" s="193">
        <f>SUM(K9:K25)</f>
        <v>432352.47</v>
      </c>
      <c r="L26" s="193"/>
      <c r="M26" s="193">
        <f>SUM(M9:M25)</f>
        <v>113581.00000000001</v>
      </c>
      <c r="O26" s="225">
        <f t="shared" si="0"/>
        <v>54721.719999999987</v>
      </c>
      <c r="P26" s="354">
        <f>O26/M26</f>
        <v>0.4817858620720013</v>
      </c>
    </row>
    <row r="27" spans="1:21" s="55" customFormat="1" ht="21" thickBot="1" x14ac:dyDescent="0.25">
      <c r="A27" s="54"/>
      <c r="B27" s="54"/>
      <c r="C27" s="54" t="s">
        <v>217</v>
      </c>
      <c r="D27" s="58"/>
      <c r="E27" s="58"/>
      <c r="F27" s="54"/>
      <c r="G27" s="200">
        <v>150176</v>
      </c>
      <c r="H27" s="200">
        <v>47700.27</v>
      </c>
      <c r="I27" s="193"/>
      <c r="J27" s="193">
        <f>21000/12*4</f>
        <v>7000</v>
      </c>
      <c r="K27" s="193">
        <v>21000</v>
      </c>
      <c r="L27" s="193"/>
      <c r="M27" s="193">
        <f>J27</f>
        <v>7000</v>
      </c>
      <c r="O27" s="409">
        <f t="shared" si="0"/>
        <v>0</v>
      </c>
      <c r="P27" s="334">
        <f>O27/M27</f>
        <v>0</v>
      </c>
    </row>
    <row r="28" spans="1:21" s="55" customFormat="1" ht="21" thickBot="1" x14ac:dyDescent="0.25">
      <c r="A28" s="54"/>
      <c r="B28" s="54"/>
      <c r="C28" s="54" t="s">
        <v>218</v>
      </c>
      <c r="D28" s="58"/>
      <c r="E28" s="58"/>
      <c r="F28" s="54"/>
      <c r="G28" s="193"/>
      <c r="H28" s="193"/>
      <c r="I28" s="193"/>
      <c r="J28" s="200">
        <v>10338.32</v>
      </c>
      <c r="K28" s="200">
        <v>33956</v>
      </c>
      <c r="L28" s="193"/>
      <c r="M28" s="200">
        <v>5008.6899999999996</v>
      </c>
      <c r="O28" s="316">
        <f t="shared" si="0"/>
        <v>5329.63</v>
      </c>
      <c r="P28" s="380">
        <f>O28/M28</f>
        <v>1.0640766348087025</v>
      </c>
    </row>
    <row r="29" spans="1:21" s="55" customFormat="1" ht="20.25" x14ac:dyDescent="0.2">
      <c r="A29" s="54"/>
      <c r="B29" s="54"/>
      <c r="C29" s="58"/>
      <c r="D29" s="54" t="s">
        <v>106</v>
      </c>
      <c r="E29" s="58"/>
      <c r="F29" s="54"/>
      <c r="G29" s="193">
        <v>1311400.25</v>
      </c>
      <c r="H29" s="193">
        <v>563993.57999999996</v>
      </c>
      <c r="I29" s="193"/>
      <c r="J29" s="193">
        <f>SUM(J26:J28)</f>
        <v>185641.04</v>
      </c>
      <c r="K29" s="193">
        <f>SUM(K26:K28)</f>
        <v>487308.47</v>
      </c>
      <c r="L29" s="193"/>
      <c r="M29" s="193">
        <f>SUM(M26:M28)</f>
        <v>125589.69000000002</v>
      </c>
      <c r="O29" s="225">
        <f t="shared" si="0"/>
        <v>60051.349999999991</v>
      </c>
      <c r="P29" s="354">
        <f>O29/M29</f>
        <v>0.47815509378198151</v>
      </c>
    </row>
    <row r="30" spans="1:21" s="55" customFormat="1" ht="20.25" x14ac:dyDescent="0.2">
      <c r="A30" s="54"/>
      <c r="B30" s="54"/>
      <c r="C30" s="58"/>
      <c r="D30" s="54"/>
      <c r="E30" s="58"/>
      <c r="F30" s="54"/>
      <c r="G30" s="193"/>
      <c r="H30" s="193"/>
      <c r="I30" s="193"/>
      <c r="J30" s="193"/>
      <c r="K30" s="480"/>
      <c r="L30" s="193"/>
      <c r="M30" s="193"/>
    </row>
    <row r="31" spans="1:21" s="55" customFormat="1" ht="21" thickBot="1" x14ac:dyDescent="0.25">
      <c r="A31" s="54"/>
      <c r="B31" s="66" t="s">
        <v>110</v>
      </c>
      <c r="C31" s="66"/>
      <c r="D31" s="66"/>
      <c r="E31" s="66"/>
      <c r="F31" s="66"/>
      <c r="G31" s="200"/>
      <c r="J31" s="193"/>
    </row>
    <row r="32" spans="1:21" s="55" customFormat="1" ht="20.25" x14ac:dyDescent="0.2">
      <c r="A32" s="54"/>
      <c r="B32" s="54"/>
      <c r="C32" s="58" t="s">
        <v>219</v>
      </c>
      <c r="D32" s="58"/>
      <c r="E32" s="58"/>
      <c r="F32" s="58"/>
      <c r="G32" s="193">
        <v>733747.79999999993</v>
      </c>
      <c r="H32" s="225">
        <v>361976</v>
      </c>
      <c r="I32" s="225"/>
      <c r="J32" s="193"/>
      <c r="K32" s="225"/>
      <c r="L32" s="225"/>
      <c r="M32" s="225"/>
    </row>
    <row r="33" spans="1:18" s="55" customFormat="1" ht="20.25" x14ac:dyDescent="0.2">
      <c r="A33" s="54"/>
      <c r="B33" s="54"/>
      <c r="C33" s="58"/>
      <c r="D33" s="789" t="s">
        <v>220</v>
      </c>
      <c r="E33" s="789"/>
      <c r="F33" s="789"/>
      <c r="G33" s="193"/>
      <c r="H33" s="225"/>
      <c r="I33" s="225"/>
      <c r="J33" s="193">
        <v>72719.539999999994</v>
      </c>
      <c r="K33" s="193">
        <v>227733.03</v>
      </c>
      <c r="L33" s="225"/>
      <c r="M33" s="193">
        <v>74118.5</v>
      </c>
      <c r="O33" s="225">
        <f>J33-M33</f>
        <v>-1398.9600000000064</v>
      </c>
      <c r="P33" s="354">
        <f>O33/M33</f>
        <v>-1.8874639934699251E-2</v>
      </c>
    </row>
    <row r="34" spans="1:18" s="55" customFormat="1" ht="20.25" x14ac:dyDescent="0.2">
      <c r="A34" s="54"/>
      <c r="B34" s="54"/>
      <c r="C34" s="58"/>
      <c r="D34" s="789" t="s">
        <v>221</v>
      </c>
      <c r="E34" s="789"/>
      <c r="F34" s="789"/>
      <c r="G34" s="193"/>
      <c r="H34" s="225"/>
      <c r="I34" s="225"/>
      <c r="J34" s="193">
        <f>18005.09+16289</f>
        <v>34294.089999999997</v>
      </c>
      <c r="K34" s="193">
        <f>49366.82+33409.92</f>
        <v>82776.739999999991</v>
      </c>
      <c r="L34" s="225"/>
      <c r="M34" s="193">
        <f>15922.89+9146.73</f>
        <v>25069.62</v>
      </c>
      <c r="O34" s="225">
        <f>J34-M34</f>
        <v>9224.4699999999975</v>
      </c>
      <c r="P34" s="354">
        <f>O34/M34</f>
        <v>0.36795412136282873</v>
      </c>
      <c r="R34" s="204"/>
    </row>
    <row r="35" spans="1:18" s="55" customFormat="1" ht="20.25" x14ac:dyDescent="0.2">
      <c r="A35" s="54"/>
      <c r="B35" s="54"/>
      <c r="C35" s="58"/>
      <c r="D35" s="789" t="s">
        <v>112</v>
      </c>
      <c r="E35" s="789"/>
      <c r="F35" s="789"/>
      <c r="G35" s="193"/>
      <c r="H35" s="225"/>
      <c r="I35" s="225"/>
      <c r="J35" s="193">
        <v>20567.849999999999</v>
      </c>
      <c r="K35" s="193">
        <v>55442.07</v>
      </c>
      <c r="L35" s="225"/>
      <c r="M35" s="193">
        <f>M33*0.213+M34*0.14</f>
        <v>19296.987300000001</v>
      </c>
      <c r="O35" s="225">
        <f>J35-M35</f>
        <v>1270.8626999999979</v>
      </c>
      <c r="P35" s="354">
        <f>O35/M35</f>
        <v>6.5858088635421225E-2</v>
      </c>
    </row>
    <row r="36" spans="1:18" s="55" customFormat="1" ht="20.25" x14ac:dyDescent="0.2">
      <c r="A36" s="54"/>
      <c r="B36" s="54"/>
      <c r="C36" s="58" t="s">
        <v>277</v>
      </c>
      <c r="D36" s="58"/>
      <c r="E36" s="58"/>
      <c r="F36" s="58"/>
      <c r="G36" s="193">
        <v>44745.18</v>
      </c>
      <c r="H36" s="193">
        <v>20974.21</v>
      </c>
      <c r="I36" s="193"/>
      <c r="J36" s="611"/>
      <c r="K36" s="611"/>
      <c r="L36" s="611"/>
      <c r="M36" s="611"/>
      <c r="O36" s="649"/>
      <c r="P36" s="354"/>
    </row>
    <row r="37" spans="1:18" s="55" customFormat="1" ht="20.25" x14ac:dyDescent="0.2">
      <c r="A37" s="54"/>
      <c r="B37" s="54"/>
      <c r="C37" s="58"/>
      <c r="D37" s="789" t="s">
        <v>222</v>
      </c>
      <c r="E37" s="789"/>
      <c r="F37" s="789"/>
      <c r="G37" s="193"/>
      <c r="H37" s="193"/>
      <c r="I37" s="193"/>
      <c r="J37" s="193">
        <v>8983.68</v>
      </c>
      <c r="K37" s="193">
        <v>31525.11</v>
      </c>
      <c r="L37" s="193"/>
      <c r="M37" s="193">
        <v>10574.77</v>
      </c>
      <c r="O37" s="225">
        <f t="shared" ref="O37:O55" si="1">J37-M37</f>
        <v>-1591.0900000000001</v>
      </c>
      <c r="P37" s="354">
        <f t="shared" ref="P37:P49" si="2">O37/M37</f>
        <v>-0.15046095565199055</v>
      </c>
    </row>
    <row r="38" spans="1:18" s="55" customFormat="1" ht="20.25" x14ac:dyDescent="0.2">
      <c r="A38" s="54"/>
      <c r="B38" s="54"/>
      <c r="C38" s="58"/>
      <c r="D38" s="789" t="s">
        <v>223</v>
      </c>
      <c r="E38" s="789"/>
      <c r="F38" s="789"/>
      <c r="G38" s="193"/>
      <c r="H38" s="193"/>
      <c r="I38" s="193"/>
      <c r="J38" s="193">
        <v>4761.59</v>
      </c>
      <c r="K38" s="193">
        <v>13289.95</v>
      </c>
      <c r="L38" s="193"/>
      <c r="M38" s="193">
        <v>5838.59</v>
      </c>
      <c r="O38" s="225">
        <f t="shared" si="1"/>
        <v>-1077</v>
      </c>
      <c r="P38" s="354">
        <f t="shared" si="2"/>
        <v>-0.18446234450440946</v>
      </c>
    </row>
    <row r="39" spans="1:18" s="55" customFormat="1" ht="20.25" x14ac:dyDescent="0.2">
      <c r="A39" s="54"/>
      <c r="B39" s="54"/>
      <c r="C39" s="58"/>
      <c r="D39" s="789" t="s">
        <v>303</v>
      </c>
      <c r="E39" s="789"/>
      <c r="F39" s="789"/>
      <c r="G39" s="193"/>
      <c r="H39" s="193"/>
      <c r="I39" s="193"/>
      <c r="J39" s="193">
        <v>8799.67</v>
      </c>
      <c r="K39" s="193">
        <v>15327.6</v>
      </c>
      <c r="L39" s="193"/>
      <c r="M39" s="193">
        <v>5046.63</v>
      </c>
      <c r="O39" s="225">
        <f t="shared" si="1"/>
        <v>3753.04</v>
      </c>
      <c r="P39" s="354">
        <f t="shared" si="2"/>
        <v>0.74367251017015312</v>
      </c>
    </row>
    <row r="40" spans="1:18" s="55" customFormat="1" ht="20.25" x14ac:dyDescent="0.2">
      <c r="A40" s="54"/>
      <c r="B40" s="54"/>
      <c r="C40" s="58"/>
      <c r="D40" s="789" t="s">
        <v>224</v>
      </c>
      <c r="E40" s="789"/>
      <c r="F40" s="789"/>
      <c r="G40" s="193"/>
      <c r="H40" s="193"/>
      <c r="I40" s="193"/>
      <c r="J40" s="193">
        <v>98</v>
      </c>
      <c r="K40" s="193">
        <v>710.5</v>
      </c>
      <c r="L40" s="193"/>
      <c r="M40" s="193">
        <v>415.5</v>
      </c>
      <c r="O40" s="225">
        <f t="shared" si="1"/>
        <v>-317.5</v>
      </c>
      <c r="P40" s="354">
        <f t="shared" si="2"/>
        <v>-0.76413959085439231</v>
      </c>
    </row>
    <row r="41" spans="1:18" s="55" customFormat="1" ht="20.25" x14ac:dyDescent="0.2">
      <c r="A41" s="54"/>
      <c r="B41" s="54"/>
      <c r="C41" s="58" t="s">
        <v>466</v>
      </c>
      <c r="D41" s="58"/>
      <c r="E41" s="58"/>
      <c r="F41" s="58"/>
      <c r="G41" s="193">
        <v>27200</v>
      </c>
      <c r="H41" s="193">
        <v>11327</v>
      </c>
      <c r="I41" s="193"/>
      <c r="J41" s="193">
        <f>M41</f>
        <v>9099</v>
      </c>
      <c r="K41" s="193">
        <f>1902+26395</f>
        <v>28297</v>
      </c>
      <c r="L41" s="193"/>
      <c r="M41" s="193">
        <f>8465+634</f>
        <v>9099</v>
      </c>
      <c r="O41" s="225">
        <f t="shared" si="1"/>
        <v>0</v>
      </c>
      <c r="P41" s="354">
        <f t="shared" si="2"/>
        <v>0</v>
      </c>
      <c r="R41" s="204"/>
    </row>
    <row r="42" spans="1:18" s="55" customFormat="1" ht="20.25" x14ac:dyDescent="0.2">
      <c r="A42" s="54"/>
      <c r="B42" s="54"/>
      <c r="C42" s="58" t="s">
        <v>103</v>
      </c>
      <c r="D42" s="58"/>
      <c r="E42" s="58"/>
      <c r="F42" s="58"/>
      <c r="G42" s="193">
        <v>150176</v>
      </c>
      <c r="H42" s="225">
        <v>47700.27</v>
      </c>
      <c r="I42" s="225"/>
      <c r="J42" s="193">
        <f>J25</f>
        <v>3516</v>
      </c>
      <c r="K42" s="193">
        <f>K25</f>
        <v>10548</v>
      </c>
      <c r="L42" s="225"/>
      <c r="M42" s="193">
        <f>M25</f>
        <v>3516</v>
      </c>
      <c r="O42" s="225">
        <f t="shared" si="1"/>
        <v>0</v>
      </c>
      <c r="P42" s="354">
        <f t="shared" si="2"/>
        <v>0</v>
      </c>
    </row>
    <row r="43" spans="1:18" s="55" customFormat="1" ht="20.25" x14ac:dyDescent="0.2">
      <c r="A43" s="54"/>
      <c r="B43" s="54"/>
      <c r="C43" s="58" t="s">
        <v>312</v>
      </c>
      <c r="D43" s="58"/>
      <c r="E43" s="58"/>
      <c r="F43" s="58"/>
      <c r="G43" s="193"/>
      <c r="H43" s="225"/>
      <c r="I43" s="225"/>
      <c r="J43" s="193">
        <v>1529.54</v>
      </c>
      <c r="K43" s="193">
        <v>4527.62</v>
      </c>
      <c r="L43" s="225"/>
      <c r="M43" s="193">
        <v>1592.34</v>
      </c>
      <c r="O43" s="225">
        <f t="shared" si="1"/>
        <v>-62.799999999999955</v>
      </c>
      <c r="P43" s="354">
        <f t="shared" si="2"/>
        <v>-3.9438813318763553E-2</v>
      </c>
    </row>
    <row r="44" spans="1:18" s="55" customFormat="1" ht="20.25" x14ac:dyDescent="0.2">
      <c r="A44" s="54"/>
      <c r="B44" s="54"/>
      <c r="C44" s="58" t="s">
        <v>541</v>
      </c>
      <c r="D44" s="58"/>
      <c r="E44" s="58"/>
      <c r="F44" s="58"/>
      <c r="G44" s="193"/>
      <c r="H44" s="225"/>
      <c r="I44" s="225"/>
      <c r="J44" s="193">
        <v>624.20000000000005</v>
      </c>
      <c r="K44" s="193">
        <v>1937.6</v>
      </c>
      <c r="L44" s="225"/>
      <c r="M44" s="193">
        <v>596</v>
      </c>
      <c r="O44" s="225">
        <f t="shared" si="1"/>
        <v>28.200000000000045</v>
      </c>
      <c r="P44" s="354">
        <f t="shared" si="2"/>
        <v>4.7315436241610817E-2</v>
      </c>
    </row>
    <row r="45" spans="1:18" s="55" customFormat="1" ht="20.25" x14ac:dyDescent="0.2">
      <c r="A45" s="54"/>
      <c r="B45" s="54"/>
      <c r="C45" s="58" t="s">
        <v>226</v>
      </c>
      <c r="D45" s="58"/>
      <c r="E45" s="58"/>
      <c r="F45" s="58"/>
      <c r="G45" s="193"/>
      <c r="H45" s="225"/>
      <c r="I45" s="225"/>
      <c r="J45" s="193">
        <v>2660</v>
      </c>
      <c r="K45" s="193">
        <f>140+673</f>
        <v>813</v>
      </c>
      <c r="L45" s="225"/>
      <c r="M45" s="193">
        <v>1184</v>
      </c>
      <c r="O45" s="225">
        <f t="shared" si="1"/>
        <v>1476</v>
      </c>
      <c r="P45" s="354">
        <f t="shared" si="2"/>
        <v>1.2466216216216217</v>
      </c>
    </row>
    <row r="46" spans="1:18" s="55" customFormat="1" ht="20.25" x14ac:dyDescent="0.2">
      <c r="A46" s="54"/>
      <c r="B46" s="54"/>
      <c r="C46" s="58" t="s">
        <v>380</v>
      </c>
      <c r="D46" s="58"/>
      <c r="E46" s="58"/>
      <c r="F46" s="58"/>
      <c r="G46" s="193">
        <v>10993.12</v>
      </c>
      <c r="H46" s="225">
        <v>4904.57</v>
      </c>
      <c r="I46" s="225"/>
      <c r="J46" s="193">
        <v>2654.72</v>
      </c>
      <c r="K46" s="193">
        <v>8336.2099999999991</v>
      </c>
      <c r="L46" s="225"/>
      <c r="M46" s="193">
        <v>2779.98</v>
      </c>
      <c r="O46" s="225">
        <f t="shared" si="1"/>
        <v>-125.26000000000022</v>
      </c>
      <c r="P46" s="354">
        <f t="shared" si="2"/>
        <v>-4.5057878114231113E-2</v>
      </c>
    </row>
    <row r="47" spans="1:18" s="55" customFormat="1" ht="20.25" x14ac:dyDescent="0.2">
      <c r="A47" s="54"/>
      <c r="B47" s="54"/>
      <c r="C47" s="58" t="s">
        <v>227</v>
      </c>
      <c r="D47" s="58"/>
      <c r="E47" s="58"/>
      <c r="F47" s="58"/>
      <c r="G47" s="193">
        <v>10250.949999999999</v>
      </c>
      <c r="H47" s="225">
        <v>3982.99</v>
      </c>
      <c r="I47" s="225"/>
      <c r="J47" s="193">
        <v>180.05</v>
      </c>
      <c r="K47" s="193">
        <f>759.4+755.78</f>
        <v>1515.1799999999998</v>
      </c>
      <c r="L47" s="225"/>
      <c r="M47" s="193">
        <f>734.6+387.86</f>
        <v>1122.46</v>
      </c>
      <c r="O47" s="225">
        <f t="shared" si="1"/>
        <v>-942.41000000000008</v>
      </c>
      <c r="P47" s="354">
        <f t="shared" si="2"/>
        <v>-0.83959339308304981</v>
      </c>
    </row>
    <row r="48" spans="1:18" s="55" customFormat="1" ht="20.25" x14ac:dyDescent="0.2">
      <c r="A48" s="54"/>
      <c r="B48" s="54"/>
      <c r="C48" s="58" t="s">
        <v>121</v>
      </c>
      <c r="D48" s="58"/>
      <c r="E48" s="58"/>
      <c r="F48" s="58"/>
      <c r="G48" s="193">
        <v>4412.53</v>
      </c>
      <c r="H48" s="226">
        <v>5667</v>
      </c>
      <c r="I48" s="226"/>
      <c r="J48" s="193">
        <v>2696.2</v>
      </c>
      <c r="K48" s="193">
        <v>6269.68</v>
      </c>
      <c r="L48" s="226"/>
      <c r="M48" s="193">
        <v>2993.81</v>
      </c>
      <c r="O48" s="225">
        <f t="shared" si="1"/>
        <v>-297.61000000000013</v>
      </c>
      <c r="P48" s="354">
        <f t="shared" si="2"/>
        <v>-9.9408446093773528E-2</v>
      </c>
    </row>
    <row r="49" spans="1:18" s="55" customFormat="1" ht="20.25" x14ac:dyDescent="0.2">
      <c r="A49" s="54"/>
      <c r="B49" s="54"/>
      <c r="C49" s="58" t="s">
        <v>119</v>
      </c>
      <c r="D49" s="58"/>
      <c r="E49" s="58"/>
      <c r="F49" s="58"/>
      <c r="G49" s="193">
        <v>7901</v>
      </c>
      <c r="H49" s="225">
        <v>4149.6000000000004</v>
      </c>
      <c r="I49" s="225"/>
      <c r="J49" s="193">
        <v>126.11</v>
      </c>
      <c r="K49" s="193">
        <v>667.73</v>
      </c>
      <c r="L49" s="225"/>
      <c r="M49" s="193">
        <v>117.99</v>
      </c>
      <c r="O49" s="225">
        <f t="shared" si="1"/>
        <v>8.1200000000000045</v>
      </c>
      <c r="P49" s="354">
        <f t="shared" si="2"/>
        <v>6.8819391473853755E-2</v>
      </c>
    </row>
    <row r="50" spans="1:18" s="55" customFormat="1" ht="20.25" hidden="1" x14ac:dyDescent="0.2">
      <c r="A50" s="54"/>
      <c r="B50" s="54"/>
      <c r="C50" s="58" t="s">
        <v>228</v>
      </c>
      <c r="D50" s="58"/>
      <c r="E50" s="58"/>
      <c r="F50" s="58"/>
      <c r="G50" s="193"/>
      <c r="H50" s="225"/>
      <c r="I50" s="225"/>
      <c r="J50" s="193"/>
      <c r="K50" s="193"/>
      <c r="L50" s="225"/>
      <c r="M50" s="193">
        <v>257.51</v>
      </c>
      <c r="O50" s="225">
        <f t="shared" si="1"/>
        <v>-257.51</v>
      </c>
      <c r="P50" s="354"/>
    </row>
    <row r="51" spans="1:18" s="55" customFormat="1" ht="20.25" x14ac:dyDescent="0.2">
      <c r="A51" s="58"/>
      <c r="B51" s="58"/>
      <c r="C51" s="58" t="s">
        <v>115</v>
      </c>
      <c r="D51" s="58"/>
      <c r="E51" s="58"/>
      <c r="F51" s="58"/>
      <c r="G51" s="193">
        <v>5428.37</v>
      </c>
      <c r="H51" s="225">
        <v>2024.52</v>
      </c>
      <c r="I51" s="225"/>
      <c r="J51" s="193">
        <v>225.1</v>
      </c>
      <c r="K51" s="193">
        <v>374.36</v>
      </c>
      <c r="L51" s="225"/>
      <c r="M51" s="193">
        <v>232.04</v>
      </c>
      <c r="O51" s="225">
        <f t="shared" si="1"/>
        <v>-6.9399999999999977</v>
      </c>
      <c r="P51" s="354">
        <f>O51/M51</f>
        <v>-2.990863644199275E-2</v>
      </c>
    </row>
    <row r="52" spans="1:18" s="55" customFormat="1" ht="20.25" x14ac:dyDescent="0.2">
      <c r="A52" s="58"/>
      <c r="B52" s="58"/>
      <c r="C52" s="58" t="s">
        <v>32</v>
      </c>
      <c r="D52" s="58"/>
      <c r="E52" s="58"/>
      <c r="F52" s="58"/>
      <c r="G52" s="193"/>
      <c r="H52" s="225"/>
      <c r="I52" s="225"/>
      <c r="J52" s="193">
        <f>'April''24 State of Activities'!G54</f>
        <v>2400</v>
      </c>
      <c r="K52" s="193">
        <f>'April''24 State of Activities'!H54</f>
        <v>4462.1899999999996</v>
      </c>
      <c r="L52" s="225"/>
      <c r="M52" s="193">
        <f>'April''24 State of Activities'!J54</f>
        <v>341.19</v>
      </c>
      <c r="O52" s="225">
        <f t="shared" si="1"/>
        <v>2058.81</v>
      </c>
      <c r="P52" s="354">
        <f>O52/M52</f>
        <v>6.0342038160555704</v>
      </c>
    </row>
    <row r="53" spans="1:18" s="55" customFormat="1" ht="20.25" x14ac:dyDescent="0.2">
      <c r="A53" s="58"/>
      <c r="B53" s="58"/>
      <c r="C53" s="58" t="s">
        <v>229</v>
      </c>
      <c r="D53" s="58"/>
      <c r="E53" s="58"/>
      <c r="F53" s="58"/>
      <c r="G53" s="193">
        <v>83462.91</v>
      </c>
      <c r="H53" s="193">
        <v>18995.71</v>
      </c>
      <c r="I53" s="193"/>
      <c r="J53" s="195">
        <f>17.65+2725.5+17.65</f>
        <v>2760.8</v>
      </c>
      <c r="K53" s="195">
        <f>17.65*2+79.5+114.85+409.5+320.68+105</f>
        <v>1064.83</v>
      </c>
      <c r="L53" s="193"/>
      <c r="M53" s="195">
        <f>54.45+1505.22+43.2</f>
        <v>1602.8700000000001</v>
      </c>
      <c r="O53" s="412">
        <f t="shared" si="1"/>
        <v>1157.93</v>
      </c>
      <c r="P53" s="411">
        <f>O53/M53</f>
        <v>0.72241042629782826</v>
      </c>
    </row>
    <row r="54" spans="1:18" s="55" customFormat="1" ht="21" thickBot="1" x14ac:dyDescent="0.25">
      <c r="A54" s="54"/>
      <c r="B54" s="54"/>
      <c r="C54" s="54"/>
      <c r="D54" s="54" t="s">
        <v>127</v>
      </c>
      <c r="E54" s="54"/>
      <c r="F54" s="54"/>
      <c r="G54" s="200">
        <v>1078317.8599999999</v>
      </c>
      <c r="H54" s="200">
        <v>481701.87000000005</v>
      </c>
      <c r="I54" s="193"/>
      <c r="J54" s="382">
        <f>SUM(J33:J53)</f>
        <v>178696.13999999998</v>
      </c>
      <c r="K54" s="382">
        <f>SUM(K33:K53)</f>
        <v>495618.39999999997</v>
      </c>
      <c r="L54" s="193"/>
      <c r="M54" s="382">
        <f>SUM(M33:M53)</f>
        <v>165795.78730000003</v>
      </c>
      <c r="O54" s="382">
        <f t="shared" si="1"/>
        <v>12900.352699999959</v>
      </c>
      <c r="P54" s="380">
        <f>O54/M54</f>
        <v>7.7808688086008784E-2</v>
      </c>
      <c r="R54" s="285"/>
    </row>
    <row r="55" spans="1:18" s="55" customFormat="1" ht="21" thickBot="1" x14ac:dyDescent="0.25">
      <c r="A55" s="54"/>
      <c r="B55" s="54"/>
      <c r="C55" s="54"/>
      <c r="D55" s="54" t="s">
        <v>128</v>
      </c>
      <c r="E55" s="54"/>
      <c r="F55" s="54"/>
      <c r="G55" s="200">
        <v>233082.39000000013</v>
      </c>
      <c r="H55" s="200">
        <v>82291.709999999905</v>
      </c>
      <c r="I55" s="193"/>
      <c r="J55" s="383">
        <f>J29-J54</f>
        <v>6944.9000000000233</v>
      </c>
      <c r="K55" s="383">
        <f>K29-K54</f>
        <v>-8309.929999999993</v>
      </c>
      <c r="L55" s="193"/>
      <c r="M55" s="383">
        <f>M29-M54</f>
        <v>-40206.097300000009</v>
      </c>
      <c r="O55" s="316">
        <f t="shared" si="1"/>
        <v>47150.997300000032</v>
      </c>
      <c r="P55" s="380">
        <f>O55/M55</f>
        <v>-1.172732507414989</v>
      </c>
    </row>
    <row r="56" spans="1:18" s="55" customFormat="1" ht="20.25" x14ac:dyDescent="0.2">
      <c r="A56" s="54"/>
      <c r="B56" s="54"/>
      <c r="C56" s="54"/>
      <c r="D56" s="54"/>
      <c r="E56" s="54"/>
      <c r="F56" s="54"/>
      <c r="G56" s="193"/>
      <c r="H56" s="193"/>
      <c r="I56" s="193"/>
      <c r="J56" s="193"/>
      <c r="K56" s="193"/>
      <c r="L56" s="193"/>
      <c r="M56" s="193"/>
    </row>
    <row r="57" spans="1:18" s="52" customFormat="1" ht="26.25" x14ac:dyDescent="0.2">
      <c r="A57" s="219"/>
      <c r="B57" s="219"/>
      <c r="C57" s="58" t="s">
        <v>562</v>
      </c>
      <c r="E57" s="58"/>
      <c r="F57" s="58"/>
      <c r="G57" s="221"/>
      <c r="H57" s="193"/>
      <c r="I57" s="193"/>
      <c r="J57" s="193">
        <f>2980*4*-1+J52</f>
        <v>-9520</v>
      </c>
      <c r="K57" s="193">
        <v>-41210</v>
      </c>
      <c r="L57" s="193"/>
      <c r="M57" s="193">
        <f>((936.98+4843.01+2917.89+2920.87))*-1+M52</f>
        <v>-11277.56</v>
      </c>
      <c r="O57" s="225">
        <f>J57-M57</f>
        <v>1757.5599999999995</v>
      </c>
      <c r="P57" s="334"/>
    </row>
    <row r="58" spans="1:18" s="55" customFormat="1" ht="20.25" x14ac:dyDescent="0.2">
      <c r="A58" s="54"/>
      <c r="B58" s="54"/>
      <c r="C58" s="58" t="s">
        <v>448</v>
      </c>
      <c r="E58" s="54"/>
      <c r="G58" s="193"/>
      <c r="H58" s="193"/>
      <c r="I58" s="193"/>
      <c r="J58" s="193">
        <f>J41</f>
        <v>9099</v>
      </c>
      <c r="K58" s="193">
        <f>K41</f>
        <v>28297</v>
      </c>
      <c r="L58" s="193"/>
      <c r="M58" s="193">
        <f>M41</f>
        <v>9099</v>
      </c>
      <c r="O58" s="225">
        <f>J58-M58</f>
        <v>0</v>
      </c>
      <c r="P58" s="334">
        <v>3.5414486921529216E-2</v>
      </c>
    </row>
    <row r="59" spans="1:18" s="55" customFormat="1" ht="24" thickBot="1" x14ac:dyDescent="0.25">
      <c r="A59" s="54"/>
      <c r="B59" s="222"/>
      <c r="C59" s="54"/>
      <c r="D59" s="792" t="s">
        <v>231</v>
      </c>
      <c r="E59" s="792"/>
      <c r="F59" s="792"/>
      <c r="G59" s="193"/>
      <c r="H59" s="193"/>
      <c r="I59" s="193"/>
      <c r="J59" s="384">
        <f>J55+J57+J58</f>
        <v>6523.9000000000233</v>
      </c>
      <c r="K59" s="384">
        <f>K55+K57+K58</f>
        <v>-21222.929999999993</v>
      </c>
      <c r="L59" s="202"/>
      <c r="M59" s="384">
        <f>M55+M57+M58</f>
        <v>-42384.657300000006</v>
      </c>
      <c r="N59" s="318"/>
      <c r="O59" s="381">
        <f>J59-M59</f>
        <v>48908.557300000029</v>
      </c>
      <c r="P59" s="407">
        <v>2.1062768618503362E-2</v>
      </c>
    </row>
    <row r="60" spans="1:18" s="55" customFormat="1" ht="42" customHeight="1" thickTop="1" x14ac:dyDescent="0.2">
      <c r="A60" s="54"/>
      <c r="B60" s="54"/>
      <c r="C60" s="54"/>
      <c r="D60" s="54"/>
      <c r="E60" s="54"/>
      <c r="F60" s="54"/>
      <c r="G60" s="193"/>
      <c r="H60" s="193"/>
      <c r="I60" s="193"/>
      <c r="J60" s="193"/>
      <c r="K60" s="193"/>
      <c r="L60" s="193"/>
      <c r="M60" s="193"/>
    </row>
    <row r="61" spans="1:18" s="55" customFormat="1" ht="20.25" x14ac:dyDescent="0.2">
      <c r="A61" s="58"/>
      <c r="B61" s="58"/>
      <c r="C61" s="58"/>
      <c r="D61" s="58"/>
      <c r="F61" s="58" t="s">
        <v>308</v>
      </c>
      <c r="G61" s="202"/>
      <c r="H61" s="193"/>
      <c r="I61" s="193"/>
      <c r="J61" s="193">
        <v>74237</v>
      </c>
      <c r="K61" s="193">
        <v>249119</v>
      </c>
      <c r="L61" s="193"/>
      <c r="M61" s="193">
        <v>79681</v>
      </c>
      <c r="O61" s="204"/>
    </row>
    <row r="62" spans="1:18" s="55" customFormat="1" ht="21" thickBot="1" x14ac:dyDescent="0.25">
      <c r="A62" s="58"/>
      <c r="B62" s="58"/>
      <c r="C62" s="58"/>
      <c r="D62" s="58"/>
      <c r="F62" s="58" t="s">
        <v>313</v>
      </c>
      <c r="G62" s="193"/>
      <c r="H62" s="193"/>
      <c r="I62" s="193"/>
      <c r="J62" s="492">
        <f>(J54-J41-J42)/J61</f>
        <v>2.2371747241941349</v>
      </c>
      <c r="K62" s="492">
        <f>(K54-K41-K42)/K61</f>
        <v>1.8335550479891134</v>
      </c>
      <c r="L62" s="493"/>
      <c r="M62" s="492">
        <f>(M54-M41-M42)/M61</f>
        <v>1.9224255129830201</v>
      </c>
    </row>
    <row r="63" spans="1:18" s="55" customFormat="1" ht="20.25" x14ac:dyDescent="0.2">
      <c r="A63" s="58"/>
      <c r="B63" s="58"/>
      <c r="C63" s="58"/>
      <c r="D63" s="58"/>
      <c r="F63" s="58"/>
      <c r="G63" s="193"/>
      <c r="H63" s="193"/>
      <c r="I63" s="193"/>
      <c r="J63" s="193"/>
      <c r="K63" s="193"/>
      <c r="L63" s="193"/>
      <c r="M63" s="193"/>
    </row>
    <row r="64" spans="1:18" s="55" customFormat="1" ht="20.25" x14ac:dyDescent="0.2">
      <c r="A64" s="58"/>
      <c r="B64" s="58"/>
      <c r="C64" s="58"/>
      <c r="D64" s="58"/>
      <c r="F64" s="58" t="s">
        <v>309</v>
      </c>
      <c r="G64" s="193"/>
      <c r="H64" s="193"/>
      <c r="I64" s="193"/>
      <c r="J64" s="193">
        <v>4184</v>
      </c>
      <c r="K64" s="193">
        <v>13026</v>
      </c>
      <c r="L64" s="193"/>
      <c r="M64" s="193">
        <v>4102</v>
      </c>
      <c r="P64" s="204"/>
    </row>
    <row r="65" spans="1:13" s="55" customFormat="1" ht="21" thickBot="1" x14ac:dyDescent="0.25">
      <c r="A65" s="58"/>
      <c r="B65" s="58"/>
      <c r="C65" s="58"/>
      <c r="D65" s="58"/>
      <c r="F65" s="58" t="s">
        <v>369</v>
      </c>
      <c r="G65" s="193"/>
      <c r="H65" s="193"/>
      <c r="I65" s="193"/>
      <c r="J65" s="492">
        <f>(J54-J41-J42)/J64</f>
        <v>39.694345124282982</v>
      </c>
      <c r="K65" s="492">
        <f>(K54-K41-K42)/K64</f>
        <v>35.066282818977427</v>
      </c>
      <c r="L65" s="193"/>
      <c r="M65" s="492">
        <f>(M54-M41-M42)/M64</f>
        <v>37.342951560214537</v>
      </c>
    </row>
    <row r="66" spans="1:13" s="55" customFormat="1" ht="20.25" x14ac:dyDescent="0.2">
      <c r="A66" s="58"/>
      <c r="B66" s="58"/>
      <c r="C66" s="58"/>
      <c r="D66" s="58"/>
      <c r="F66" s="58"/>
      <c r="G66" s="193"/>
      <c r="H66" s="193"/>
      <c r="I66" s="193"/>
      <c r="J66" s="193"/>
      <c r="K66" s="193"/>
      <c r="L66" s="193"/>
      <c r="M66" s="193"/>
    </row>
    <row r="67" spans="1:13" s="55" customFormat="1" ht="20.25" x14ac:dyDescent="0.2">
      <c r="A67" s="58"/>
      <c r="B67" s="58"/>
      <c r="C67" s="54"/>
      <c r="D67" s="58"/>
      <c r="F67" s="58" t="s">
        <v>310</v>
      </c>
      <c r="G67" s="193"/>
      <c r="H67" s="193"/>
      <c r="I67" s="193"/>
      <c r="J67" s="193">
        <v>1654</v>
      </c>
      <c r="K67" s="193">
        <v>4221</v>
      </c>
      <c r="L67" s="193"/>
      <c r="M67" s="193">
        <v>1262</v>
      </c>
    </row>
    <row r="68" spans="1:13" s="55" customFormat="1" ht="21" thickBot="1" x14ac:dyDescent="0.25">
      <c r="A68" s="58"/>
      <c r="B68" s="58"/>
      <c r="C68" s="58"/>
      <c r="D68" s="58"/>
      <c r="E68" s="58"/>
      <c r="F68" s="58" t="s">
        <v>370</v>
      </c>
      <c r="G68" s="193"/>
      <c r="H68" s="193"/>
      <c r="I68" s="193"/>
      <c r="J68" s="492">
        <f>J9/J67</f>
        <v>29.54571946795647</v>
      </c>
      <c r="K68" s="492">
        <f>K9/K67</f>
        <v>31.096770907367922</v>
      </c>
      <c r="L68" s="193"/>
      <c r="M68" s="492">
        <f>M9/M67</f>
        <v>32.123193343898578</v>
      </c>
    </row>
    <row r="69" spans="1:13" s="55" customFormat="1" ht="20.25" x14ac:dyDescent="0.2">
      <c r="A69" s="58"/>
      <c r="B69" s="58"/>
      <c r="C69" s="54"/>
      <c r="D69" s="54"/>
      <c r="G69" s="193"/>
      <c r="H69" s="193"/>
      <c r="I69" s="193"/>
      <c r="J69" s="193"/>
      <c r="K69" s="193"/>
      <c r="L69" s="193"/>
      <c r="M69" s="193"/>
    </row>
    <row r="70" spans="1:13" s="55" customFormat="1" ht="20.25" x14ac:dyDescent="0.2">
      <c r="A70" s="58"/>
      <c r="B70" s="58"/>
      <c r="C70" s="58"/>
      <c r="D70" s="58"/>
      <c r="E70" s="58"/>
      <c r="F70" s="58"/>
      <c r="G70" s="193"/>
      <c r="H70" s="193"/>
      <c r="I70" s="193"/>
      <c r="J70" s="193"/>
      <c r="K70" s="193"/>
      <c r="L70" s="193"/>
      <c r="M70" s="193"/>
    </row>
    <row r="71" spans="1:13" s="55" customFormat="1" ht="20.25" x14ac:dyDescent="0.2">
      <c r="A71" s="58"/>
      <c r="B71" s="58"/>
      <c r="C71" s="58"/>
      <c r="D71" s="58"/>
      <c r="E71" s="58"/>
      <c r="F71" s="58"/>
      <c r="G71" s="193"/>
      <c r="H71" s="193"/>
      <c r="I71" s="193"/>
      <c r="J71" s="193"/>
      <c r="K71" s="193"/>
      <c r="L71" s="193"/>
      <c r="M71" s="193"/>
    </row>
    <row r="72" spans="1:13" s="55" customFormat="1" ht="20.25" x14ac:dyDescent="0.2">
      <c r="A72" s="58"/>
      <c r="B72" s="58"/>
      <c r="C72" s="54"/>
      <c r="D72" s="58"/>
      <c r="F72" s="58"/>
      <c r="G72" s="193"/>
      <c r="H72" s="193"/>
      <c r="I72" s="193"/>
      <c r="J72" s="193"/>
      <c r="K72" s="193"/>
      <c r="L72" s="193"/>
      <c r="M72" s="193"/>
    </row>
    <row r="73" spans="1:13" s="55" customFormat="1" ht="20.25" x14ac:dyDescent="0.2">
      <c r="A73" s="58"/>
      <c r="B73" s="58"/>
      <c r="C73" s="58"/>
      <c r="D73" s="58"/>
      <c r="E73" s="58"/>
      <c r="F73" s="58"/>
      <c r="G73" s="193"/>
      <c r="H73" s="193"/>
      <c r="I73" s="193"/>
      <c r="J73" s="193"/>
      <c r="K73" s="193"/>
      <c r="L73" s="193"/>
      <c r="M73" s="193"/>
    </row>
    <row r="74" spans="1:13" s="55" customFormat="1" ht="20.25" x14ac:dyDescent="0.2">
      <c r="A74" s="54"/>
      <c r="B74" s="54"/>
      <c r="C74" s="54"/>
      <c r="D74" s="54"/>
      <c r="E74" s="54"/>
      <c r="F74" s="54"/>
      <c r="G74" s="196"/>
      <c r="H74" s="196"/>
      <c r="I74" s="196"/>
      <c r="J74" s="196"/>
      <c r="K74" s="196"/>
      <c r="L74" s="196"/>
      <c r="M74" s="196"/>
    </row>
    <row r="75" spans="1:13" s="55" customFormat="1" ht="20.25" x14ac:dyDescent="0.2">
      <c r="A75" s="54"/>
      <c r="B75" s="54"/>
      <c r="C75" s="54"/>
      <c r="D75" s="54"/>
      <c r="E75" s="54"/>
      <c r="F75" s="54"/>
      <c r="G75" s="196"/>
      <c r="H75" s="196"/>
      <c r="I75" s="196"/>
      <c r="J75" s="196"/>
      <c r="K75" s="196"/>
      <c r="L75" s="196"/>
      <c r="M75" s="196"/>
    </row>
    <row r="76" spans="1:13" s="55" customFormat="1" ht="23.25" x14ac:dyDescent="0.2">
      <c r="A76" s="54"/>
      <c r="B76" s="222"/>
      <c r="C76" s="54"/>
      <c r="D76" s="54"/>
      <c r="E76" s="54"/>
      <c r="F76" s="54"/>
      <c r="G76" s="193"/>
      <c r="H76" s="193"/>
      <c r="I76" s="193"/>
      <c r="J76" s="193"/>
      <c r="K76" s="193"/>
      <c r="L76" s="193"/>
      <c r="M76" s="193"/>
    </row>
    <row r="77" spans="1:13" s="55" customFormat="1" ht="20.25" x14ac:dyDescent="0.2">
      <c r="A77" s="58"/>
      <c r="B77" s="58"/>
      <c r="D77" s="58"/>
      <c r="E77" s="58"/>
      <c r="F77" s="58"/>
      <c r="G77" s="193"/>
      <c r="H77" s="193"/>
      <c r="I77" s="193"/>
      <c r="J77" s="193"/>
      <c r="K77" s="193"/>
      <c r="L77" s="193"/>
      <c r="M77" s="193"/>
    </row>
    <row r="78" spans="1:13" s="55" customFormat="1" ht="20.25" x14ac:dyDescent="0.2">
      <c r="A78" s="58"/>
      <c r="B78" s="58"/>
      <c r="D78" s="58"/>
      <c r="E78" s="58"/>
      <c r="F78" s="58"/>
      <c r="G78" s="193"/>
      <c r="H78" s="193"/>
      <c r="I78" s="193"/>
      <c r="J78" s="193"/>
      <c r="K78" s="193"/>
      <c r="L78" s="193"/>
      <c r="M78" s="193"/>
    </row>
    <row r="79" spans="1:13" s="55" customFormat="1" ht="20.25" x14ac:dyDescent="0.2">
      <c r="A79" s="54"/>
      <c r="B79" s="54"/>
      <c r="D79" s="58"/>
      <c r="E79" s="54"/>
      <c r="F79" s="54"/>
      <c r="G79" s="193"/>
      <c r="H79" s="193"/>
      <c r="I79" s="193"/>
      <c r="J79" s="193"/>
      <c r="K79" s="193"/>
      <c r="L79" s="193"/>
      <c r="M79" s="193"/>
    </row>
    <row r="80" spans="1:13" s="55" customFormat="1" ht="23.25" x14ac:dyDescent="0.2">
      <c r="A80" s="54"/>
      <c r="B80" s="222"/>
      <c r="C80" s="54"/>
      <c r="D80" s="54"/>
      <c r="E80" s="54"/>
      <c r="F80" s="54"/>
      <c r="G80" s="196"/>
      <c r="H80" s="196"/>
      <c r="I80" s="196"/>
      <c r="J80" s="196"/>
      <c r="K80" s="196"/>
      <c r="L80" s="196"/>
      <c r="M80" s="196"/>
    </row>
    <row r="81" spans="1:13" s="55" customFormat="1" ht="20.25" x14ac:dyDescent="0.2">
      <c r="A81" s="54"/>
      <c r="B81" s="54"/>
      <c r="C81" s="54"/>
      <c r="D81" s="54"/>
      <c r="E81" s="54"/>
      <c r="F81" s="54"/>
      <c r="G81" s="193"/>
      <c r="H81" s="193"/>
      <c r="I81" s="193"/>
      <c r="J81" s="193"/>
      <c r="K81" s="193"/>
      <c r="L81" s="193"/>
      <c r="M81" s="193"/>
    </row>
    <row r="82" spans="1:13" s="62" customFormat="1" ht="26.25" x14ac:dyDescent="0.2">
      <c r="A82" s="219"/>
      <c r="B82" s="219"/>
      <c r="C82" s="219"/>
      <c r="D82" s="219"/>
      <c r="E82" s="219"/>
      <c r="F82" s="219"/>
      <c r="G82" s="220"/>
      <c r="H82" s="196"/>
      <c r="I82" s="196"/>
      <c r="J82" s="196"/>
      <c r="K82" s="196"/>
      <c r="L82" s="196"/>
      <c r="M82" s="196"/>
    </row>
    <row r="83" spans="1:13" ht="20.25" x14ac:dyDescent="0.3">
      <c r="H83" s="227"/>
      <c r="I83" s="227"/>
      <c r="J83" s="227"/>
      <c r="K83" s="227"/>
      <c r="L83" s="227"/>
      <c r="M83" s="227"/>
    </row>
    <row r="84" spans="1:13" ht="20.25" x14ac:dyDescent="0.3">
      <c r="H84" s="227"/>
      <c r="I84" s="227"/>
      <c r="J84" s="227"/>
      <c r="K84" s="227"/>
      <c r="L84" s="227"/>
      <c r="M84" s="227"/>
    </row>
    <row r="85" spans="1:13" ht="20.25" x14ac:dyDescent="0.3">
      <c r="H85" s="227"/>
      <c r="I85" s="227"/>
      <c r="J85" s="227"/>
      <c r="K85" s="227"/>
      <c r="L85" s="227"/>
      <c r="M85" s="227"/>
    </row>
    <row r="86" spans="1:13" ht="20.25" x14ac:dyDescent="0.3">
      <c r="H86" s="224"/>
      <c r="I86" s="224"/>
      <c r="J86" s="224"/>
      <c r="K86" s="224"/>
      <c r="L86" s="224"/>
      <c r="M86" s="224"/>
    </row>
  </sheetData>
  <mergeCells count="11">
    <mergeCell ref="J6:M6"/>
    <mergeCell ref="C23:F23"/>
    <mergeCell ref="D33:F33"/>
    <mergeCell ref="O8:P8"/>
    <mergeCell ref="D37:F37"/>
    <mergeCell ref="D59:F59"/>
    <mergeCell ref="D38:F38"/>
    <mergeCell ref="D39:F39"/>
    <mergeCell ref="D40:F40"/>
    <mergeCell ref="D34:F34"/>
    <mergeCell ref="D35:F35"/>
  </mergeCells>
  <pageMargins left="0.2" right="0.2" top="0.25" bottom="0.5" header="0.3" footer="0.3"/>
  <pageSetup scale="5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H78"/>
  <sheetViews>
    <sheetView topLeftCell="A25" zoomScale="75" zoomScaleNormal="75" workbookViewId="0">
      <selection activeCell="M10" sqref="M10"/>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5.625" style="45" customWidth="1"/>
    <col min="7" max="7" width="22.25" style="190" hidden="1" customWidth="1"/>
    <col min="8" max="8" width="23.125" hidden="1" customWidth="1"/>
    <col min="9" max="9" width="1.625" customWidth="1"/>
    <col min="10" max="10" width="26.875" customWidth="1"/>
    <col min="11" max="11" width="24.5" customWidth="1"/>
    <col min="12" max="12" width="1.625" customWidth="1"/>
    <col min="13" max="13" width="23.125" customWidth="1"/>
    <col min="14" max="14" width="1.75" customWidth="1"/>
    <col min="15" max="15" width="19.75" bestFit="1" customWidth="1"/>
    <col min="16" max="16" width="15" customWidth="1"/>
    <col min="17" max="17" width="16.875" bestFit="1" customWidth="1"/>
    <col min="18" max="18" width="10" bestFit="1" customWidth="1"/>
    <col min="254" max="254" width="2.875" customWidth="1"/>
    <col min="255" max="255" width="8.125" customWidth="1"/>
    <col min="256" max="256" width="8.75" customWidth="1"/>
    <col min="257" max="257" width="11" customWidth="1"/>
    <col min="258" max="258" width="2.875" customWidth="1"/>
    <col min="259" max="259" width="77.625" customWidth="1"/>
    <col min="260" max="260" width="20.875" customWidth="1"/>
    <col min="510" max="510" width="2.875" customWidth="1"/>
    <col min="511" max="511" width="8.125" customWidth="1"/>
    <col min="512" max="512" width="8.75" customWidth="1"/>
    <col min="513" max="513" width="11" customWidth="1"/>
    <col min="514" max="514" width="2.875" customWidth="1"/>
    <col min="515" max="515" width="77.625" customWidth="1"/>
    <col min="516" max="516" width="20.875" customWidth="1"/>
    <col min="766" max="766" width="2.875" customWidth="1"/>
    <col min="767" max="767" width="8.125" customWidth="1"/>
    <col min="768" max="768" width="8.75" customWidth="1"/>
    <col min="769" max="769" width="11" customWidth="1"/>
    <col min="770" max="770" width="2.875" customWidth="1"/>
    <col min="771" max="771" width="77.625" customWidth="1"/>
    <col min="772" max="772" width="20.875" customWidth="1"/>
    <col min="1022" max="1022" width="2.875" customWidth="1"/>
    <col min="1023" max="1023" width="8.125" customWidth="1"/>
    <col min="1024" max="1024" width="8.75" customWidth="1"/>
    <col min="1025" max="1025" width="11" customWidth="1"/>
    <col min="1026" max="1026" width="2.875" customWidth="1"/>
    <col min="1027" max="1027" width="77.625" customWidth="1"/>
    <col min="1028" max="1028" width="20.875" customWidth="1"/>
    <col min="1278" max="1278" width="2.875" customWidth="1"/>
    <col min="1279" max="1279" width="8.125" customWidth="1"/>
    <col min="1280" max="1280" width="8.75" customWidth="1"/>
    <col min="1281" max="1281" width="11" customWidth="1"/>
    <col min="1282" max="1282" width="2.875" customWidth="1"/>
    <col min="1283" max="1283" width="77.625" customWidth="1"/>
    <col min="1284" max="1284" width="20.875" customWidth="1"/>
    <col min="1534" max="1534" width="2.875" customWidth="1"/>
    <col min="1535" max="1535" width="8.125" customWidth="1"/>
    <col min="1536" max="1536" width="8.75" customWidth="1"/>
    <col min="1537" max="1537" width="11" customWidth="1"/>
    <col min="1538" max="1538" width="2.875" customWidth="1"/>
    <col min="1539" max="1539" width="77.625" customWidth="1"/>
    <col min="1540" max="1540" width="20.875" customWidth="1"/>
    <col min="1790" max="1790" width="2.875" customWidth="1"/>
    <col min="1791" max="1791" width="8.125" customWidth="1"/>
    <col min="1792" max="1792" width="8.75" customWidth="1"/>
    <col min="1793" max="1793" width="11" customWidth="1"/>
    <col min="1794" max="1794" width="2.875" customWidth="1"/>
    <col min="1795" max="1795" width="77.625" customWidth="1"/>
    <col min="1796" max="1796" width="20.875" customWidth="1"/>
    <col min="2046" max="2046" width="2.875" customWidth="1"/>
    <col min="2047" max="2047" width="8.125" customWidth="1"/>
    <col min="2048" max="2048" width="8.75" customWidth="1"/>
    <col min="2049" max="2049" width="11" customWidth="1"/>
    <col min="2050" max="2050" width="2.875" customWidth="1"/>
    <col min="2051" max="2051" width="77.625" customWidth="1"/>
    <col min="2052" max="2052" width="20.875" customWidth="1"/>
    <col min="2302" max="2302" width="2.875" customWidth="1"/>
    <col min="2303" max="2303" width="8.125" customWidth="1"/>
    <col min="2304" max="2304" width="8.75" customWidth="1"/>
    <col min="2305" max="2305" width="11" customWidth="1"/>
    <col min="2306" max="2306" width="2.875" customWidth="1"/>
    <col min="2307" max="2307" width="77.625" customWidth="1"/>
    <col min="2308" max="2308" width="20.875" customWidth="1"/>
    <col min="2558" max="2558" width="2.875" customWidth="1"/>
    <col min="2559" max="2559" width="8.125" customWidth="1"/>
    <col min="2560" max="2560" width="8.75" customWidth="1"/>
    <col min="2561" max="2561" width="11" customWidth="1"/>
    <col min="2562" max="2562" width="2.875" customWidth="1"/>
    <col min="2563" max="2563" width="77.625" customWidth="1"/>
    <col min="2564" max="2564" width="20.875" customWidth="1"/>
    <col min="2814" max="2814" width="2.875" customWidth="1"/>
    <col min="2815" max="2815" width="8.125" customWidth="1"/>
    <col min="2816" max="2816" width="8.75" customWidth="1"/>
    <col min="2817" max="2817" width="11" customWidth="1"/>
    <col min="2818" max="2818" width="2.875" customWidth="1"/>
    <col min="2819" max="2819" width="77.625" customWidth="1"/>
    <col min="2820" max="2820" width="20.875" customWidth="1"/>
    <col min="3070" max="3070" width="2.875" customWidth="1"/>
    <col min="3071" max="3071" width="8.125" customWidth="1"/>
    <col min="3072" max="3072" width="8.75" customWidth="1"/>
    <col min="3073" max="3073" width="11" customWidth="1"/>
    <col min="3074" max="3074" width="2.875" customWidth="1"/>
    <col min="3075" max="3075" width="77.625" customWidth="1"/>
    <col min="3076" max="3076" width="20.875" customWidth="1"/>
    <col min="3326" max="3326" width="2.875" customWidth="1"/>
    <col min="3327" max="3327" width="8.125" customWidth="1"/>
    <col min="3328" max="3328" width="8.75" customWidth="1"/>
    <col min="3329" max="3329" width="11" customWidth="1"/>
    <col min="3330" max="3330" width="2.875" customWidth="1"/>
    <col min="3331" max="3331" width="77.625" customWidth="1"/>
    <col min="3332" max="3332" width="20.875" customWidth="1"/>
    <col min="3582" max="3582" width="2.875" customWidth="1"/>
    <col min="3583" max="3583" width="8.125" customWidth="1"/>
    <col min="3584" max="3584" width="8.75" customWidth="1"/>
    <col min="3585" max="3585" width="11" customWidth="1"/>
    <col min="3586" max="3586" width="2.875" customWidth="1"/>
    <col min="3587" max="3587" width="77.625" customWidth="1"/>
    <col min="3588" max="3588" width="20.875" customWidth="1"/>
    <col min="3838" max="3838" width="2.875" customWidth="1"/>
    <col min="3839" max="3839" width="8.125" customWidth="1"/>
    <col min="3840" max="3840" width="8.75" customWidth="1"/>
    <col min="3841" max="3841" width="11" customWidth="1"/>
    <col min="3842" max="3842" width="2.875" customWidth="1"/>
    <col min="3843" max="3843" width="77.625" customWidth="1"/>
    <col min="3844" max="3844" width="20.875" customWidth="1"/>
    <col min="4094" max="4094" width="2.875" customWidth="1"/>
    <col min="4095" max="4095" width="8.125" customWidth="1"/>
    <col min="4096" max="4096" width="8.75" customWidth="1"/>
    <col min="4097" max="4097" width="11" customWidth="1"/>
    <col min="4098" max="4098" width="2.875" customWidth="1"/>
    <col min="4099" max="4099" width="77.625" customWidth="1"/>
    <col min="4100" max="4100" width="20.875" customWidth="1"/>
    <col min="4350" max="4350" width="2.875" customWidth="1"/>
    <col min="4351" max="4351" width="8.125" customWidth="1"/>
    <col min="4352" max="4352" width="8.75" customWidth="1"/>
    <col min="4353" max="4353" width="11" customWidth="1"/>
    <col min="4354" max="4354" width="2.875" customWidth="1"/>
    <col min="4355" max="4355" width="77.625" customWidth="1"/>
    <col min="4356" max="4356" width="20.875" customWidth="1"/>
    <col min="4606" max="4606" width="2.875" customWidth="1"/>
    <col min="4607" max="4607" width="8.125" customWidth="1"/>
    <col min="4608" max="4608" width="8.75" customWidth="1"/>
    <col min="4609" max="4609" width="11" customWidth="1"/>
    <col min="4610" max="4610" width="2.875" customWidth="1"/>
    <col min="4611" max="4611" width="77.625" customWidth="1"/>
    <col min="4612" max="4612" width="20.875" customWidth="1"/>
    <col min="4862" max="4862" width="2.875" customWidth="1"/>
    <col min="4863" max="4863" width="8.125" customWidth="1"/>
    <col min="4864" max="4864" width="8.75" customWidth="1"/>
    <col min="4865" max="4865" width="11" customWidth="1"/>
    <col min="4866" max="4866" width="2.875" customWidth="1"/>
    <col min="4867" max="4867" width="77.625" customWidth="1"/>
    <col min="4868" max="4868" width="20.875" customWidth="1"/>
    <col min="5118" max="5118" width="2.875" customWidth="1"/>
    <col min="5119" max="5119" width="8.125" customWidth="1"/>
    <col min="5120" max="5120" width="8.75" customWidth="1"/>
    <col min="5121" max="5121" width="11" customWidth="1"/>
    <col min="5122" max="5122" width="2.875" customWidth="1"/>
    <col min="5123" max="5123" width="77.625" customWidth="1"/>
    <col min="5124" max="5124" width="20.875" customWidth="1"/>
    <col min="5374" max="5374" width="2.875" customWidth="1"/>
    <col min="5375" max="5375" width="8.125" customWidth="1"/>
    <col min="5376" max="5376" width="8.75" customWidth="1"/>
    <col min="5377" max="5377" width="11" customWidth="1"/>
    <col min="5378" max="5378" width="2.875" customWidth="1"/>
    <col min="5379" max="5379" width="77.625" customWidth="1"/>
    <col min="5380" max="5380" width="20.875" customWidth="1"/>
    <col min="5630" max="5630" width="2.875" customWidth="1"/>
    <col min="5631" max="5631" width="8.125" customWidth="1"/>
    <col min="5632" max="5632" width="8.75" customWidth="1"/>
    <col min="5633" max="5633" width="11" customWidth="1"/>
    <col min="5634" max="5634" width="2.875" customWidth="1"/>
    <col min="5635" max="5635" width="77.625" customWidth="1"/>
    <col min="5636" max="5636" width="20.875" customWidth="1"/>
    <col min="5886" max="5886" width="2.875" customWidth="1"/>
    <col min="5887" max="5887" width="8.125" customWidth="1"/>
    <col min="5888" max="5888" width="8.75" customWidth="1"/>
    <col min="5889" max="5889" width="11" customWidth="1"/>
    <col min="5890" max="5890" width="2.875" customWidth="1"/>
    <col min="5891" max="5891" width="77.625" customWidth="1"/>
    <col min="5892" max="5892" width="20.875" customWidth="1"/>
    <col min="6142" max="6142" width="2.875" customWidth="1"/>
    <col min="6143" max="6143" width="8.125" customWidth="1"/>
    <col min="6144" max="6144" width="8.75" customWidth="1"/>
    <col min="6145" max="6145" width="11" customWidth="1"/>
    <col min="6146" max="6146" width="2.875" customWidth="1"/>
    <col min="6147" max="6147" width="77.625" customWidth="1"/>
    <col min="6148" max="6148" width="20.875" customWidth="1"/>
    <col min="6398" max="6398" width="2.875" customWidth="1"/>
    <col min="6399" max="6399" width="8.125" customWidth="1"/>
    <col min="6400" max="6400" width="8.75" customWidth="1"/>
    <col min="6401" max="6401" width="11" customWidth="1"/>
    <col min="6402" max="6402" width="2.875" customWidth="1"/>
    <col min="6403" max="6403" width="77.625" customWidth="1"/>
    <col min="6404" max="6404" width="20.875" customWidth="1"/>
    <col min="6654" max="6654" width="2.875" customWidth="1"/>
    <col min="6655" max="6655" width="8.125" customWidth="1"/>
    <col min="6656" max="6656" width="8.75" customWidth="1"/>
    <col min="6657" max="6657" width="11" customWidth="1"/>
    <col min="6658" max="6658" width="2.875" customWidth="1"/>
    <col min="6659" max="6659" width="77.625" customWidth="1"/>
    <col min="6660" max="6660" width="20.875" customWidth="1"/>
    <col min="6910" max="6910" width="2.875" customWidth="1"/>
    <col min="6911" max="6911" width="8.125" customWidth="1"/>
    <col min="6912" max="6912" width="8.75" customWidth="1"/>
    <col min="6913" max="6913" width="11" customWidth="1"/>
    <col min="6914" max="6914" width="2.875" customWidth="1"/>
    <col min="6915" max="6915" width="77.625" customWidth="1"/>
    <col min="6916" max="6916" width="20.875" customWidth="1"/>
    <col min="7166" max="7166" width="2.875" customWidth="1"/>
    <col min="7167" max="7167" width="8.125" customWidth="1"/>
    <col min="7168" max="7168" width="8.75" customWidth="1"/>
    <col min="7169" max="7169" width="11" customWidth="1"/>
    <col min="7170" max="7170" width="2.875" customWidth="1"/>
    <col min="7171" max="7171" width="77.625" customWidth="1"/>
    <col min="7172" max="7172" width="20.875" customWidth="1"/>
    <col min="7422" max="7422" width="2.875" customWidth="1"/>
    <col min="7423" max="7423" width="8.125" customWidth="1"/>
    <col min="7424" max="7424" width="8.75" customWidth="1"/>
    <col min="7425" max="7425" width="11" customWidth="1"/>
    <col min="7426" max="7426" width="2.875" customWidth="1"/>
    <col min="7427" max="7427" width="77.625" customWidth="1"/>
    <col min="7428" max="7428" width="20.875" customWidth="1"/>
    <col min="7678" max="7678" width="2.875" customWidth="1"/>
    <col min="7679" max="7679" width="8.125" customWidth="1"/>
    <col min="7680" max="7680" width="8.75" customWidth="1"/>
    <col min="7681" max="7681" width="11" customWidth="1"/>
    <col min="7682" max="7682" width="2.875" customWidth="1"/>
    <col min="7683" max="7683" width="77.625" customWidth="1"/>
    <col min="7684" max="7684" width="20.875" customWidth="1"/>
    <col min="7934" max="7934" width="2.875" customWidth="1"/>
    <col min="7935" max="7935" width="8.125" customWidth="1"/>
    <col min="7936" max="7936" width="8.75" customWidth="1"/>
    <col min="7937" max="7937" width="11" customWidth="1"/>
    <col min="7938" max="7938" width="2.875" customWidth="1"/>
    <col min="7939" max="7939" width="77.625" customWidth="1"/>
    <col min="7940" max="7940" width="20.875" customWidth="1"/>
    <col min="8190" max="8190" width="2.875" customWidth="1"/>
    <col min="8191" max="8191" width="8.125" customWidth="1"/>
    <col min="8192" max="8192" width="8.75" customWidth="1"/>
    <col min="8193" max="8193" width="11" customWidth="1"/>
    <col min="8194" max="8194" width="2.875" customWidth="1"/>
    <col min="8195" max="8195" width="77.625" customWidth="1"/>
    <col min="8196" max="8196" width="20.875" customWidth="1"/>
    <col min="8446" max="8446" width="2.875" customWidth="1"/>
    <col min="8447" max="8447" width="8.125" customWidth="1"/>
    <col min="8448" max="8448" width="8.75" customWidth="1"/>
    <col min="8449" max="8449" width="11" customWidth="1"/>
    <col min="8450" max="8450" width="2.875" customWidth="1"/>
    <col min="8451" max="8451" width="77.625" customWidth="1"/>
    <col min="8452" max="8452" width="20.875" customWidth="1"/>
    <col min="8702" max="8702" width="2.875" customWidth="1"/>
    <col min="8703" max="8703" width="8.125" customWidth="1"/>
    <col min="8704" max="8704" width="8.75" customWidth="1"/>
    <col min="8705" max="8705" width="11" customWidth="1"/>
    <col min="8706" max="8706" width="2.875" customWidth="1"/>
    <col min="8707" max="8707" width="77.625" customWidth="1"/>
    <col min="8708" max="8708" width="20.875" customWidth="1"/>
    <col min="8958" max="8958" width="2.875" customWidth="1"/>
    <col min="8959" max="8959" width="8.125" customWidth="1"/>
    <col min="8960" max="8960" width="8.75" customWidth="1"/>
    <col min="8961" max="8961" width="11" customWidth="1"/>
    <col min="8962" max="8962" width="2.875" customWidth="1"/>
    <col min="8963" max="8963" width="77.625" customWidth="1"/>
    <col min="8964" max="8964" width="20.875" customWidth="1"/>
    <col min="9214" max="9214" width="2.875" customWidth="1"/>
    <col min="9215" max="9215" width="8.125" customWidth="1"/>
    <col min="9216" max="9216" width="8.75" customWidth="1"/>
    <col min="9217" max="9217" width="11" customWidth="1"/>
    <col min="9218" max="9218" width="2.875" customWidth="1"/>
    <col min="9219" max="9219" width="77.625" customWidth="1"/>
    <col min="9220" max="9220" width="20.875" customWidth="1"/>
    <col min="9470" max="9470" width="2.875" customWidth="1"/>
    <col min="9471" max="9471" width="8.125" customWidth="1"/>
    <col min="9472" max="9472" width="8.75" customWidth="1"/>
    <col min="9473" max="9473" width="11" customWidth="1"/>
    <col min="9474" max="9474" width="2.875" customWidth="1"/>
    <col min="9475" max="9475" width="77.625" customWidth="1"/>
    <col min="9476" max="9476" width="20.875" customWidth="1"/>
    <col min="9726" max="9726" width="2.875" customWidth="1"/>
    <col min="9727" max="9727" width="8.125" customWidth="1"/>
    <col min="9728" max="9728" width="8.75" customWidth="1"/>
    <col min="9729" max="9729" width="11" customWidth="1"/>
    <col min="9730" max="9730" width="2.875" customWidth="1"/>
    <col min="9731" max="9731" width="77.625" customWidth="1"/>
    <col min="9732" max="9732" width="20.875" customWidth="1"/>
    <col min="9982" max="9982" width="2.875" customWidth="1"/>
    <col min="9983" max="9983" width="8.125" customWidth="1"/>
    <col min="9984" max="9984" width="8.75" customWidth="1"/>
    <col min="9985" max="9985" width="11" customWidth="1"/>
    <col min="9986" max="9986" width="2.875" customWidth="1"/>
    <col min="9987" max="9987" width="77.625" customWidth="1"/>
    <col min="9988" max="9988" width="20.875" customWidth="1"/>
    <col min="10238" max="10238" width="2.875" customWidth="1"/>
    <col min="10239" max="10239" width="8.125" customWidth="1"/>
    <col min="10240" max="10240" width="8.75" customWidth="1"/>
    <col min="10241" max="10241" width="11" customWidth="1"/>
    <col min="10242" max="10242" width="2.875" customWidth="1"/>
    <col min="10243" max="10243" width="77.625" customWidth="1"/>
    <col min="10244" max="10244" width="20.875" customWidth="1"/>
    <col min="10494" max="10494" width="2.875" customWidth="1"/>
    <col min="10495" max="10495" width="8.125" customWidth="1"/>
    <col min="10496" max="10496" width="8.75" customWidth="1"/>
    <col min="10497" max="10497" width="11" customWidth="1"/>
    <col min="10498" max="10498" width="2.875" customWidth="1"/>
    <col min="10499" max="10499" width="77.625" customWidth="1"/>
    <col min="10500" max="10500" width="20.875" customWidth="1"/>
    <col min="10750" max="10750" width="2.875" customWidth="1"/>
    <col min="10751" max="10751" width="8.125" customWidth="1"/>
    <col min="10752" max="10752" width="8.75" customWidth="1"/>
    <col min="10753" max="10753" width="11" customWidth="1"/>
    <col min="10754" max="10754" width="2.875" customWidth="1"/>
    <col min="10755" max="10755" width="77.625" customWidth="1"/>
    <col min="10756" max="10756" width="20.875" customWidth="1"/>
    <col min="11006" max="11006" width="2.875" customWidth="1"/>
    <col min="11007" max="11007" width="8.125" customWidth="1"/>
    <col min="11008" max="11008" width="8.75" customWidth="1"/>
    <col min="11009" max="11009" width="11" customWidth="1"/>
    <col min="11010" max="11010" width="2.875" customWidth="1"/>
    <col min="11011" max="11011" width="77.625" customWidth="1"/>
    <col min="11012" max="11012" width="20.875" customWidth="1"/>
    <col min="11262" max="11262" width="2.875" customWidth="1"/>
    <col min="11263" max="11263" width="8.125" customWidth="1"/>
    <col min="11264" max="11264" width="8.75" customWidth="1"/>
    <col min="11265" max="11265" width="11" customWidth="1"/>
    <col min="11266" max="11266" width="2.875" customWidth="1"/>
    <col min="11267" max="11267" width="77.625" customWidth="1"/>
    <col min="11268" max="11268" width="20.875" customWidth="1"/>
    <col min="11518" max="11518" width="2.875" customWidth="1"/>
    <col min="11519" max="11519" width="8.125" customWidth="1"/>
    <col min="11520" max="11520" width="8.75" customWidth="1"/>
    <col min="11521" max="11521" width="11" customWidth="1"/>
    <col min="11522" max="11522" width="2.875" customWidth="1"/>
    <col min="11523" max="11523" width="77.625" customWidth="1"/>
    <col min="11524" max="11524" width="20.875" customWidth="1"/>
    <col min="11774" max="11774" width="2.875" customWidth="1"/>
    <col min="11775" max="11775" width="8.125" customWidth="1"/>
    <col min="11776" max="11776" width="8.75" customWidth="1"/>
    <col min="11777" max="11777" width="11" customWidth="1"/>
    <col min="11778" max="11778" width="2.875" customWidth="1"/>
    <col min="11779" max="11779" width="77.625" customWidth="1"/>
    <col min="11780" max="11780" width="20.875" customWidth="1"/>
    <col min="12030" max="12030" width="2.875" customWidth="1"/>
    <col min="12031" max="12031" width="8.125" customWidth="1"/>
    <col min="12032" max="12032" width="8.75" customWidth="1"/>
    <col min="12033" max="12033" width="11" customWidth="1"/>
    <col min="12034" max="12034" width="2.875" customWidth="1"/>
    <col min="12035" max="12035" width="77.625" customWidth="1"/>
    <col min="12036" max="12036" width="20.875" customWidth="1"/>
    <col min="12286" max="12286" width="2.875" customWidth="1"/>
    <col min="12287" max="12287" width="8.125" customWidth="1"/>
    <col min="12288" max="12288" width="8.75" customWidth="1"/>
    <col min="12289" max="12289" width="11" customWidth="1"/>
    <col min="12290" max="12290" width="2.875" customWidth="1"/>
    <col min="12291" max="12291" width="77.625" customWidth="1"/>
    <col min="12292" max="12292" width="20.875" customWidth="1"/>
    <col min="12542" max="12542" width="2.875" customWidth="1"/>
    <col min="12543" max="12543" width="8.125" customWidth="1"/>
    <col min="12544" max="12544" width="8.75" customWidth="1"/>
    <col min="12545" max="12545" width="11" customWidth="1"/>
    <col min="12546" max="12546" width="2.875" customWidth="1"/>
    <col min="12547" max="12547" width="77.625" customWidth="1"/>
    <col min="12548" max="12548" width="20.875" customWidth="1"/>
    <col min="12798" max="12798" width="2.875" customWidth="1"/>
    <col min="12799" max="12799" width="8.125" customWidth="1"/>
    <col min="12800" max="12800" width="8.75" customWidth="1"/>
    <col min="12801" max="12801" width="11" customWidth="1"/>
    <col min="12802" max="12802" width="2.875" customWidth="1"/>
    <col min="12803" max="12803" width="77.625" customWidth="1"/>
    <col min="12804" max="12804" width="20.875" customWidth="1"/>
    <col min="13054" max="13054" width="2.875" customWidth="1"/>
    <col min="13055" max="13055" width="8.125" customWidth="1"/>
    <col min="13056" max="13056" width="8.75" customWidth="1"/>
    <col min="13057" max="13057" width="11" customWidth="1"/>
    <col min="13058" max="13058" width="2.875" customWidth="1"/>
    <col min="13059" max="13059" width="77.625" customWidth="1"/>
    <col min="13060" max="13060" width="20.875" customWidth="1"/>
    <col min="13310" max="13310" width="2.875" customWidth="1"/>
    <col min="13311" max="13311" width="8.125" customWidth="1"/>
    <col min="13312" max="13312" width="8.75" customWidth="1"/>
    <col min="13313" max="13313" width="11" customWidth="1"/>
    <col min="13314" max="13314" width="2.875" customWidth="1"/>
    <col min="13315" max="13315" width="77.625" customWidth="1"/>
    <col min="13316" max="13316" width="20.875" customWidth="1"/>
    <col min="13566" max="13566" width="2.875" customWidth="1"/>
    <col min="13567" max="13567" width="8.125" customWidth="1"/>
    <col min="13568" max="13568" width="8.75" customWidth="1"/>
    <col min="13569" max="13569" width="11" customWidth="1"/>
    <col min="13570" max="13570" width="2.875" customWidth="1"/>
    <col min="13571" max="13571" width="77.625" customWidth="1"/>
    <col min="13572" max="13572" width="20.875" customWidth="1"/>
    <col min="13822" max="13822" width="2.875" customWidth="1"/>
    <col min="13823" max="13823" width="8.125" customWidth="1"/>
    <col min="13824" max="13824" width="8.75" customWidth="1"/>
    <col min="13825" max="13825" width="11" customWidth="1"/>
    <col min="13826" max="13826" width="2.875" customWidth="1"/>
    <col min="13827" max="13827" width="77.625" customWidth="1"/>
    <col min="13828" max="13828" width="20.875" customWidth="1"/>
    <col min="14078" max="14078" width="2.875" customWidth="1"/>
    <col min="14079" max="14079" width="8.125" customWidth="1"/>
    <col min="14080" max="14080" width="8.75" customWidth="1"/>
    <col min="14081" max="14081" width="11" customWidth="1"/>
    <col min="14082" max="14082" width="2.875" customWidth="1"/>
    <col min="14083" max="14083" width="77.625" customWidth="1"/>
    <col min="14084" max="14084" width="20.875" customWidth="1"/>
    <col min="14334" max="14334" width="2.875" customWidth="1"/>
    <col min="14335" max="14335" width="8.125" customWidth="1"/>
    <col min="14336" max="14336" width="8.75" customWidth="1"/>
    <col min="14337" max="14337" width="11" customWidth="1"/>
    <col min="14338" max="14338" width="2.875" customWidth="1"/>
    <col min="14339" max="14339" width="77.625" customWidth="1"/>
    <col min="14340" max="14340" width="20.875" customWidth="1"/>
    <col min="14590" max="14590" width="2.875" customWidth="1"/>
    <col min="14591" max="14591" width="8.125" customWidth="1"/>
    <col min="14592" max="14592" width="8.75" customWidth="1"/>
    <col min="14593" max="14593" width="11" customWidth="1"/>
    <col min="14594" max="14594" width="2.875" customWidth="1"/>
    <col min="14595" max="14595" width="77.625" customWidth="1"/>
    <col min="14596" max="14596" width="20.875" customWidth="1"/>
    <col min="14846" max="14846" width="2.875" customWidth="1"/>
    <col min="14847" max="14847" width="8.125" customWidth="1"/>
    <col min="14848" max="14848" width="8.75" customWidth="1"/>
    <col min="14849" max="14849" width="11" customWidth="1"/>
    <col min="14850" max="14850" width="2.875" customWidth="1"/>
    <col min="14851" max="14851" width="77.625" customWidth="1"/>
    <col min="14852" max="14852" width="20.875" customWidth="1"/>
    <col min="15102" max="15102" width="2.875" customWidth="1"/>
    <col min="15103" max="15103" width="8.125" customWidth="1"/>
    <col min="15104" max="15104" width="8.75" customWidth="1"/>
    <col min="15105" max="15105" width="11" customWidth="1"/>
    <col min="15106" max="15106" width="2.875" customWidth="1"/>
    <col min="15107" max="15107" width="77.625" customWidth="1"/>
    <col min="15108" max="15108" width="20.875" customWidth="1"/>
    <col min="15358" max="15358" width="2.875" customWidth="1"/>
    <col min="15359" max="15359" width="8.125" customWidth="1"/>
    <col min="15360" max="15360" width="8.75" customWidth="1"/>
    <col min="15361" max="15361" width="11" customWidth="1"/>
    <col min="15362" max="15362" width="2.875" customWidth="1"/>
    <col min="15363" max="15363" width="77.625" customWidth="1"/>
    <col min="15364" max="15364" width="20.875" customWidth="1"/>
    <col min="15614" max="15614" width="2.875" customWidth="1"/>
    <col min="15615" max="15615" width="8.125" customWidth="1"/>
    <col min="15616" max="15616" width="8.75" customWidth="1"/>
    <col min="15617" max="15617" width="11" customWidth="1"/>
    <col min="15618" max="15618" width="2.875" customWidth="1"/>
    <col min="15619" max="15619" width="77.625" customWidth="1"/>
    <col min="15620" max="15620" width="20.875" customWidth="1"/>
    <col min="15870" max="15870" width="2.875" customWidth="1"/>
    <col min="15871" max="15871" width="8.125" customWidth="1"/>
    <col min="15872" max="15872" width="8.75" customWidth="1"/>
    <col min="15873" max="15873" width="11" customWidth="1"/>
    <col min="15874" max="15874" width="2.875" customWidth="1"/>
    <col min="15875" max="15875" width="77.625" customWidth="1"/>
    <col min="15876" max="15876" width="20.875" customWidth="1"/>
    <col min="16126" max="16126" width="2.875" customWidth="1"/>
    <col min="16127" max="16127" width="8.125" customWidth="1"/>
    <col min="16128" max="16128" width="8.75" customWidth="1"/>
    <col min="16129" max="16129" width="11" customWidth="1"/>
    <col min="16130" max="16130" width="2.875" customWidth="1"/>
    <col min="16131" max="16131" width="77.625" customWidth="1"/>
    <col min="16132" max="16132" width="20.875" customWidth="1"/>
  </cols>
  <sheetData>
    <row r="1" spans="1:60" ht="22.5" customHeight="1" x14ac:dyDescent="0.4">
      <c r="A1" s="46" t="s">
        <v>93</v>
      </c>
      <c r="B1" s="47"/>
      <c r="C1" s="48"/>
      <c r="D1" s="48"/>
      <c r="E1" s="48"/>
      <c r="F1" s="47"/>
      <c r="G1" s="191"/>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row>
    <row r="2" spans="1:60" ht="22.5" customHeight="1" x14ac:dyDescent="0.4">
      <c r="A2" s="46" t="s">
        <v>568</v>
      </c>
      <c r="B2" s="47"/>
      <c r="C2" s="48"/>
      <c r="D2" s="48"/>
      <c r="E2" s="48"/>
      <c r="F2" s="47"/>
      <c r="G2" s="191"/>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row>
    <row r="3" spans="1:60" ht="21.75" customHeight="1" x14ac:dyDescent="0.4">
      <c r="A3" s="46" t="s">
        <v>569</v>
      </c>
      <c r="B3" s="47"/>
      <c r="C3" s="48"/>
      <c r="D3" s="48"/>
      <c r="E3" s="48"/>
      <c r="F3" s="47"/>
      <c r="G3" s="191"/>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row>
    <row r="4" spans="1:60" ht="22.5" customHeight="1" x14ac:dyDescent="0.35">
      <c r="B4" s="47"/>
      <c r="C4" s="48"/>
      <c r="D4" s="48"/>
      <c r="E4" s="48"/>
      <c r="F4" s="47"/>
      <c r="G4" s="191"/>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row>
    <row r="5" spans="1:60" s="50" customFormat="1" ht="8.25" customHeight="1" thickBot="1" x14ac:dyDescent="0.25">
      <c r="A5" s="49"/>
      <c r="B5" s="49"/>
      <c r="C5" s="49"/>
      <c r="D5" s="49"/>
      <c r="E5" s="49"/>
      <c r="F5" s="49"/>
      <c r="G5" s="192"/>
    </row>
    <row r="6" spans="1:60" s="53" customFormat="1" ht="24.75" customHeight="1" thickTop="1" thickBot="1" x14ac:dyDescent="0.25">
      <c r="A6" s="51" t="s">
        <v>107</v>
      </c>
      <c r="B6" s="51"/>
      <c r="C6" s="51"/>
      <c r="D6" s="51"/>
      <c r="E6" s="51"/>
      <c r="F6" s="51"/>
      <c r="G6" s="327"/>
      <c r="H6" s="199" t="s">
        <v>49</v>
      </c>
      <c r="I6" s="199"/>
      <c r="J6" s="787" t="s">
        <v>573</v>
      </c>
      <c r="K6" s="787"/>
      <c r="L6" s="787"/>
      <c r="M6" s="787"/>
      <c r="N6" s="52"/>
      <c r="O6" s="336"/>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row>
    <row r="7" spans="1:60" s="55" customFormat="1" ht="21" customHeight="1" thickTop="1" x14ac:dyDescent="0.2">
      <c r="A7" s="54"/>
      <c r="B7" s="54"/>
      <c r="C7" s="54"/>
      <c r="D7" s="54"/>
      <c r="E7" s="54"/>
      <c r="F7" s="54"/>
      <c r="G7" s="193"/>
      <c r="J7" s="729" t="s">
        <v>563</v>
      </c>
      <c r="K7" s="729" t="s">
        <v>564</v>
      </c>
      <c r="M7" s="729" t="s">
        <v>570</v>
      </c>
    </row>
    <row r="8" spans="1:60" s="55" customFormat="1" ht="21" customHeight="1" x14ac:dyDescent="0.3">
      <c r="A8" s="54"/>
      <c r="B8" s="54"/>
      <c r="C8" s="54"/>
      <c r="D8" s="54"/>
      <c r="E8" s="54"/>
      <c r="F8" s="54"/>
      <c r="G8" s="193"/>
      <c r="J8" s="729" t="s">
        <v>565</v>
      </c>
      <c r="K8" s="729" t="s">
        <v>565</v>
      </c>
      <c r="M8" s="729" t="s">
        <v>571</v>
      </c>
      <c r="O8" s="224" t="s">
        <v>574</v>
      </c>
    </row>
    <row r="9" spans="1:60" ht="21" thickBot="1" x14ac:dyDescent="0.35">
      <c r="A9" s="56"/>
      <c r="B9" s="120" t="s">
        <v>99</v>
      </c>
      <c r="C9" s="120"/>
      <c r="D9" s="120"/>
      <c r="E9" s="120"/>
      <c r="F9" s="120"/>
      <c r="G9" s="231">
        <v>41090</v>
      </c>
      <c r="H9" s="231">
        <v>41274</v>
      </c>
      <c r="I9" s="271"/>
      <c r="J9" s="231" t="s">
        <v>566</v>
      </c>
      <c r="K9" s="542" t="s">
        <v>567</v>
      </c>
      <c r="L9" s="271"/>
      <c r="M9" s="542" t="s">
        <v>572</v>
      </c>
      <c r="O9" s="542" t="s">
        <v>572</v>
      </c>
    </row>
    <row r="10" spans="1:60" s="55" customFormat="1" ht="20.25" x14ac:dyDescent="0.2">
      <c r="A10" s="54"/>
      <c r="B10" s="54"/>
      <c r="C10" s="58" t="s">
        <v>149</v>
      </c>
      <c r="D10" s="58"/>
      <c r="E10" s="58"/>
      <c r="F10" s="54"/>
      <c r="G10" s="193">
        <v>127719</v>
      </c>
      <c r="H10" s="193">
        <v>67566.5</v>
      </c>
      <c r="I10" s="193"/>
      <c r="J10" s="202">
        <f>'April''24 State of Activities'!G10</f>
        <v>48868.62</v>
      </c>
      <c r="K10" s="202">
        <v>54000</v>
      </c>
      <c r="L10" s="202"/>
      <c r="M10" s="728">
        <f>J10+K10</f>
        <v>102868.62</v>
      </c>
      <c r="O10" s="317">
        <v>92000</v>
      </c>
      <c r="Q10" s="322"/>
    </row>
    <row r="11" spans="1:60" s="55" customFormat="1" ht="20.25" x14ac:dyDescent="0.2">
      <c r="A11" s="54"/>
      <c r="B11" s="54"/>
      <c r="C11" s="58" t="s">
        <v>213</v>
      </c>
      <c r="D11" s="58"/>
      <c r="E11" s="58"/>
      <c r="F11" s="54"/>
      <c r="G11" s="202">
        <v>875436</v>
      </c>
      <c r="H11" s="202">
        <v>372424.1</v>
      </c>
      <c r="I11" s="202"/>
      <c r="J11" s="193">
        <v>2148</v>
      </c>
      <c r="K11" s="193">
        <f>4300-J11</f>
        <v>2152</v>
      </c>
      <c r="L11" s="202"/>
      <c r="M11" s="193">
        <f>J11+K11</f>
        <v>4300</v>
      </c>
      <c r="O11" s="409">
        <v>4000</v>
      </c>
      <c r="Q11" s="322"/>
    </row>
    <row r="12" spans="1:60" s="55" customFormat="1" ht="20.25" x14ac:dyDescent="0.2">
      <c r="A12" s="54"/>
      <c r="B12" s="54"/>
      <c r="C12" s="58" t="s">
        <v>101</v>
      </c>
      <c r="D12" s="58"/>
      <c r="E12" s="58"/>
      <c r="F12" s="54"/>
      <c r="G12" s="193"/>
      <c r="H12" s="193"/>
      <c r="I12" s="193"/>
      <c r="J12" s="193"/>
      <c r="K12" s="193"/>
      <c r="L12" s="193"/>
      <c r="M12" s="193"/>
      <c r="O12" s="409"/>
    </row>
    <row r="13" spans="1:60" s="55" customFormat="1" ht="20.25" x14ac:dyDescent="0.2">
      <c r="A13" s="54"/>
      <c r="B13" s="54"/>
      <c r="D13" s="58" t="s">
        <v>214</v>
      </c>
      <c r="E13" s="58"/>
      <c r="F13" s="54"/>
      <c r="G13" s="193">
        <v>94235.25</v>
      </c>
      <c r="H13" s="193">
        <v>37190.379999999997</v>
      </c>
      <c r="I13" s="193"/>
      <c r="J13" s="193">
        <f>'April''24 Revenues &amp; Expenses'!I23</f>
        <v>0</v>
      </c>
      <c r="K13" s="193">
        <f>J13</f>
        <v>0</v>
      </c>
      <c r="L13" s="193"/>
      <c r="M13" s="193">
        <f t="shared" ref="M13:M23" si="0">J13+K13</f>
        <v>0</v>
      </c>
      <c r="O13" s="409">
        <v>47500</v>
      </c>
      <c r="Q13" s="662"/>
      <c r="R13" s="386"/>
      <c r="S13" s="385"/>
      <c r="T13" s="385"/>
    </row>
    <row r="14" spans="1:60" s="55" customFormat="1" ht="20.25" x14ac:dyDescent="0.2">
      <c r="A14" s="54"/>
      <c r="B14" s="54"/>
      <c r="D14" s="58" t="s">
        <v>158</v>
      </c>
      <c r="E14" s="58"/>
      <c r="F14" s="54"/>
      <c r="G14" s="193"/>
      <c r="H14" s="193"/>
      <c r="I14" s="193"/>
      <c r="J14" s="193">
        <f>'April''24 Revenues &amp; Expenses'!I32</f>
        <v>6000</v>
      </c>
      <c r="K14" s="193">
        <f>J14</f>
        <v>6000</v>
      </c>
      <c r="L14" s="193"/>
      <c r="M14" s="193">
        <f t="shared" si="0"/>
        <v>12000</v>
      </c>
      <c r="O14" s="409">
        <v>18000</v>
      </c>
      <c r="R14" s="318"/>
      <c r="S14" s="387"/>
      <c r="T14" s="58"/>
    </row>
    <row r="15" spans="1:60" s="55" customFormat="1" ht="20.25" x14ac:dyDescent="0.2">
      <c r="A15" s="54"/>
      <c r="B15" s="54"/>
      <c r="C15" s="58" t="s">
        <v>102</v>
      </c>
      <c r="D15" s="58"/>
      <c r="E15" s="58"/>
      <c r="F15" s="54"/>
      <c r="G15" s="193">
        <v>0</v>
      </c>
      <c r="H15" s="193">
        <v>3517</v>
      </c>
      <c r="I15" s="193"/>
      <c r="J15" s="193">
        <f>'April''24 State of Activities'!G18</f>
        <v>5893.7</v>
      </c>
      <c r="K15" s="193">
        <v>10000</v>
      </c>
      <c r="L15" s="193"/>
      <c r="M15" s="193">
        <f t="shared" si="0"/>
        <v>15893.7</v>
      </c>
      <c r="O15" s="409">
        <v>20000</v>
      </c>
      <c r="R15" s="318"/>
      <c r="S15" s="387"/>
      <c r="T15" s="304"/>
    </row>
    <row r="16" spans="1:60" s="55" customFormat="1" ht="20.25" x14ac:dyDescent="0.2">
      <c r="A16" s="54"/>
      <c r="B16" s="54"/>
      <c r="C16" s="58" t="s">
        <v>575</v>
      </c>
      <c r="D16" s="58"/>
      <c r="E16" s="58"/>
      <c r="F16" s="54"/>
      <c r="G16" s="193"/>
      <c r="H16" s="193"/>
      <c r="I16" s="193"/>
      <c r="J16" s="193"/>
      <c r="K16" s="193">
        <v>15000</v>
      </c>
      <c r="L16" s="193"/>
      <c r="M16" s="661">
        <f t="shared" si="0"/>
        <v>15000</v>
      </c>
      <c r="O16" s="409"/>
      <c r="R16" s="318"/>
      <c r="S16" s="387"/>
      <c r="T16" s="304"/>
    </row>
    <row r="17" spans="1:20" s="55" customFormat="1" ht="20.25" x14ac:dyDescent="0.2">
      <c r="A17" s="54"/>
      <c r="B17" s="54"/>
      <c r="C17" s="58" t="s">
        <v>215</v>
      </c>
      <c r="D17" s="58"/>
      <c r="E17" s="58"/>
      <c r="F17" s="54"/>
      <c r="G17" s="193">
        <v>31459</v>
      </c>
      <c r="H17" s="193">
        <v>13920.35</v>
      </c>
      <c r="I17" s="193"/>
      <c r="J17" s="193">
        <f>'April''24 Revenues &amp; Expenses'!H48</f>
        <v>0</v>
      </c>
      <c r="K17" s="193">
        <f>27500-J17</f>
        <v>27500</v>
      </c>
      <c r="L17" s="193"/>
      <c r="M17" s="193">
        <f t="shared" si="0"/>
        <v>27500</v>
      </c>
      <c r="O17" s="409">
        <v>27500</v>
      </c>
      <c r="R17" s="318"/>
      <c r="S17" s="387"/>
      <c r="T17" s="304"/>
    </row>
    <row r="18" spans="1:20" s="55" customFormat="1" ht="20.25" x14ac:dyDescent="0.2">
      <c r="A18" s="54"/>
      <c r="B18" s="54"/>
      <c r="C18" s="58" t="s">
        <v>377</v>
      </c>
      <c r="D18" s="58"/>
      <c r="E18" s="58"/>
      <c r="F18" s="54"/>
      <c r="G18" s="193"/>
      <c r="H18" s="193"/>
      <c r="I18" s="193"/>
      <c r="J18" s="193">
        <v>11255.53</v>
      </c>
      <c r="K18" s="193">
        <v>12500</v>
      </c>
      <c r="L18" s="193"/>
      <c r="M18" s="193">
        <f t="shared" si="0"/>
        <v>23755.53</v>
      </c>
      <c r="O18" s="409">
        <v>25000</v>
      </c>
      <c r="R18" s="318"/>
      <c r="S18" s="387"/>
      <c r="T18" s="304"/>
    </row>
    <row r="19" spans="1:20" s="55" customFormat="1" ht="20.25" x14ac:dyDescent="0.2">
      <c r="A19" s="54"/>
      <c r="B19" s="54"/>
      <c r="C19" s="58" t="s">
        <v>389</v>
      </c>
      <c r="D19" s="58"/>
      <c r="E19" s="58"/>
      <c r="F19" s="54"/>
      <c r="G19" s="193"/>
      <c r="H19" s="193"/>
      <c r="I19" s="193"/>
      <c r="J19" s="193">
        <f>4166.67*6</f>
        <v>25000.02</v>
      </c>
      <c r="K19" s="193">
        <f>J19</f>
        <v>25000.02</v>
      </c>
      <c r="L19" s="193"/>
      <c r="M19" s="193">
        <f t="shared" si="0"/>
        <v>50000.04</v>
      </c>
      <c r="O19" s="409">
        <v>50000</v>
      </c>
      <c r="R19" s="318"/>
      <c r="S19" s="387"/>
      <c r="T19" s="304"/>
    </row>
    <row r="20" spans="1:20" s="55" customFormat="1" ht="20.25" x14ac:dyDescent="0.2">
      <c r="A20" s="54"/>
      <c r="B20" s="54"/>
      <c r="C20" s="58" t="s">
        <v>560</v>
      </c>
      <c r="D20" s="58"/>
      <c r="E20" s="58"/>
      <c r="F20" s="54"/>
      <c r="G20" s="193"/>
      <c r="H20" s="193"/>
      <c r="I20" s="193"/>
      <c r="J20" s="193">
        <f>7142.85*1</f>
        <v>7142.85</v>
      </c>
      <c r="K20" s="193">
        <f>50000-J20</f>
        <v>42857.15</v>
      </c>
      <c r="L20" s="193"/>
      <c r="M20" s="661">
        <f t="shared" si="0"/>
        <v>50000</v>
      </c>
      <c r="O20" s="409">
        <v>0</v>
      </c>
      <c r="R20" s="318"/>
      <c r="S20" s="387"/>
      <c r="T20" s="304"/>
    </row>
    <row r="21" spans="1:20" s="55" customFormat="1" ht="20.25" hidden="1" x14ac:dyDescent="0.2">
      <c r="A21" s="54"/>
      <c r="B21" s="54"/>
      <c r="C21" s="58" t="s">
        <v>405</v>
      </c>
      <c r="D21" s="58"/>
      <c r="E21" s="58"/>
      <c r="F21" s="54"/>
      <c r="G21" s="193"/>
      <c r="H21" s="193"/>
      <c r="I21" s="193"/>
      <c r="J21" s="193">
        <v>0</v>
      </c>
      <c r="K21" s="193">
        <v>0</v>
      </c>
      <c r="L21" s="193"/>
      <c r="M21" s="193">
        <f t="shared" si="0"/>
        <v>0</v>
      </c>
      <c r="O21" s="409"/>
      <c r="R21" s="318"/>
      <c r="S21" s="387"/>
      <c r="T21" s="304"/>
    </row>
    <row r="22" spans="1:20" s="55" customFormat="1" ht="20.25" x14ac:dyDescent="0.2">
      <c r="A22" s="54"/>
      <c r="B22" s="54"/>
      <c r="C22" s="58" t="s">
        <v>333</v>
      </c>
      <c r="D22" s="58"/>
      <c r="E22" s="58"/>
      <c r="F22" s="54"/>
      <c r="G22" s="193"/>
      <c r="H22" s="193"/>
      <c r="I22" s="193"/>
      <c r="J22" s="193">
        <v>90</v>
      </c>
      <c r="K22" s="193">
        <v>90</v>
      </c>
      <c r="L22" s="193"/>
      <c r="M22" s="193">
        <f t="shared" si="0"/>
        <v>180</v>
      </c>
      <c r="O22" s="409">
        <v>0</v>
      </c>
      <c r="R22" s="318"/>
      <c r="S22" s="387"/>
      <c r="T22" s="304"/>
    </row>
    <row r="23" spans="1:20" s="55" customFormat="1" ht="20.25" customHeight="1" x14ac:dyDescent="0.2">
      <c r="A23" s="54"/>
      <c r="B23" s="54"/>
      <c r="C23" s="789" t="s">
        <v>561</v>
      </c>
      <c r="D23" s="789"/>
      <c r="E23" s="789"/>
      <c r="F23" s="789"/>
      <c r="G23" s="193"/>
      <c r="H23" s="193"/>
      <c r="I23" s="193"/>
      <c r="J23" s="193">
        <v>529.88</v>
      </c>
      <c r="K23" s="193">
        <v>0</v>
      </c>
      <c r="L23" s="193"/>
      <c r="M23" s="193">
        <f t="shared" si="0"/>
        <v>529.88</v>
      </c>
      <c r="O23" s="409">
        <v>0</v>
      </c>
      <c r="R23" s="318"/>
      <c r="S23" s="387"/>
      <c r="T23" s="304"/>
    </row>
    <row r="24" spans="1:20" s="55" customFormat="1" ht="21" thickBot="1" x14ac:dyDescent="0.25">
      <c r="A24" s="54"/>
      <c r="B24" s="54"/>
      <c r="C24" s="58" t="s">
        <v>216</v>
      </c>
      <c r="D24" s="58"/>
      <c r="E24" s="58"/>
      <c r="F24" s="54"/>
      <c r="G24" s="200">
        <v>31250</v>
      </c>
      <c r="H24" s="200">
        <v>15624.98</v>
      </c>
      <c r="I24" s="193"/>
      <c r="J24" s="200">
        <f>'April''24 State of Activities'!G26*0.2</f>
        <v>3516</v>
      </c>
      <c r="K24" s="200">
        <f>J24</f>
        <v>3516</v>
      </c>
      <c r="L24" s="193"/>
      <c r="M24" s="200">
        <f>J24+K24</f>
        <v>7032</v>
      </c>
      <c r="O24" s="316">
        <f>M24</f>
        <v>7032</v>
      </c>
    </row>
    <row r="25" spans="1:20" s="55" customFormat="1" ht="20.25" x14ac:dyDescent="0.2">
      <c r="A25" s="54"/>
      <c r="B25" s="54"/>
      <c r="C25" s="58"/>
      <c r="D25" s="54" t="s">
        <v>104</v>
      </c>
      <c r="E25" s="58"/>
      <c r="F25" s="54"/>
      <c r="G25" s="193">
        <v>1161224.25</v>
      </c>
      <c r="H25" s="193">
        <v>516293.30999999994</v>
      </c>
      <c r="I25" s="193"/>
      <c r="J25" s="193">
        <f>SUM(J10:J24)</f>
        <v>110444.60000000002</v>
      </c>
      <c r="K25" s="193">
        <f>SUM(K10:K24)</f>
        <v>198615.16999999998</v>
      </c>
      <c r="L25" s="193"/>
      <c r="M25" s="193">
        <f>SUM(M10:M24)</f>
        <v>309059.77</v>
      </c>
      <c r="O25" s="193">
        <f>SUM(O10:O24)</f>
        <v>291032</v>
      </c>
    </row>
    <row r="26" spans="1:20" s="55" customFormat="1" ht="21" thickBot="1" x14ac:dyDescent="0.25">
      <c r="A26" s="54"/>
      <c r="B26" s="54"/>
      <c r="C26" s="54" t="s">
        <v>217</v>
      </c>
      <c r="D26" s="58"/>
      <c r="E26" s="58"/>
      <c r="F26" s="54"/>
      <c r="G26" s="200">
        <v>150176</v>
      </c>
      <c r="H26" s="200">
        <v>47700.27</v>
      </c>
      <c r="I26" s="193"/>
      <c r="J26" s="193">
        <f>21000/12*6</f>
        <v>10500</v>
      </c>
      <c r="K26" s="193">
        <f>J26</f>
        <v>10500</v>
      </c>
      <c r="L26" s="193"/>
      <c r="M26" s="193">
        <f>J26+K26</f>
        <v>21000</v>
      </c>
      <c r="O26" s="409">
        <v>20000</v>
      </c>
    </row>
    <row r="27" spans="1:20" s="55" customFormat="1" ht="21" thickBot="1" x14ac:dyDescent="0.25">
      <c r="A27" s="54"/>
      <c r="B27" s="54"/>
      <c r="C27" s="54" t="s">
        <v>218</v>
      </c>
      <c r="D27" s="58"/>
      <c r="E27" s="58"/>
      <c r="F27" s="54"/>
      <c r="G27" s="193"/>
      <c r="H27" s="193"/>
      <c r="I27" s="193"/>
      <c r="J27" s="200">
        <v>15097.54</v>
      </c>
      <c r="K27" s="200">
        <v>14500</v>
      </c>
      <c r="L27" s="193"/>
      <c r="M27" s="200">
        <f>J27+K27</f>
        <v>29597.54</v>
      </c>
      <c r="O27" s="316">
        <v>26568</v>
      </c>
    </row>
    <row r="28" spans="1:20" s="55" customFormat="1" ht="20.25" x14ac:dyDescent="0.2">
      <c r="A28" s="54"/>
      <c r="B28" s="54"/>
      <c r="C28" s="58"/>
      <c r="D28" s="54" t="s">
        <v>106</v>
      </c>
      <c r="E28" s="58"/>
      <c r="F28" s="54"/>
      <c r="G28" s="193">
        <v>1311400.25</v>
      </c>
      <c r="H28" s="193">
        <v>563993.57999999996</v>
      </c>
      <c r="I28" s="193"/>
      <c r="J28" s="193">
        <f>SUM(J25:J27)</f>
        <v>136042.14000000001</v>
      </c>
      <c r="K28" s="193">
        <f>SUM(K25:K27)</f>
        <v>223615.16999999998</v>
      </c>
      <c r="L28" s="193"/>
      <c r="M28" s="193">
        <f>SUM(M25:M27)</f>
        <v>359657.31</v>
      </c>
      <c r="O28" s="193">
        <f>SUM(O25:O27)</f>
        <v>337600</v>
      </c>
    </row>
    <row r="29" spans="1:20" s="55" customFormat="1" ht="20.25" x14ac:dyDescent="0.2">
      <c r="A29" s="54"/>
      <c r="B29" s="54"/>
      <c r="C29" s="58"/>
      <c r="D29" s="54"/>
      <c r="E29" s="58"/>
      <c r="F29" s="54"/>
      <c r="G29" s="193"/>
      <c r="H29" s="193"/>
      <c r="I29" s="193"/>
      <c r="J29" s="193"/>
      <c r="K29" s="480"/>
      <c r="L29" s="193"/>
      <c r="M29" s="193"/>
    </row>
    <row r="30" spans="1:20" s="55" customFormat="1" ht="21" thickBot="1" x14ac:dyDescent="0.25">
      <c r="A30" s="54"/>
      <c r="B30" s="66" t="s">
        <v>110</v>
      </c>
      <c r="C30" s="66"/>
      <c r="D30" s="66"/>
      <c r="E30" s="66"/>
      <c r="F30" s="66"/>
      <c r="G30" s="200"/>
      <c r="J30" s="193"/>
    </row>
    <row r="31" spans="1:20" s="55" customFormat="1" ht="20.25" x14ac:dyDescent="0.2">
      <c r="A31" s="54"/>
      <c r="B31" s="54"/>
      <c r="C31" s="58" t="s">
        <v>219</v>
      </c>
      <c r="D31" s="58"/>
      <c r="E31" s="58"/>
      <c r="F31" s="58"/>
      <c r="G31" s="193">
        <v>733747.79999999993</v>
      </c>
      <c r="H31" s="225">
        <v>361976</v>
      </c>
      <c r="I31" s="225"/>
      <c r="J31" s="193"/>
      <c r="K31" s="225"/>
      <c r="L31" s="225"/>
      <c r="M31" s="225"/>
    </row>
    <row r="32" spans="1:20" s="55" customFormat="1" ht="20.25" x14ac:dyDescent="0.2">
      <c r="A32" s="54"/>
      <c r="B32" s="54"/>
      <c r="C32" s="58"/>
      <c r="D32" s="789" t="s">
        <v>220</v>
      </c>
      <c r="E32" s="789"/>
      <c r="F32" s="789"/>
      <c r="G32" s="193"/>
      <c r="H32" s="225"/>
      <c r="I32" s="225"/>
      <c r="J32" s="193">
        <v>116661.22</v>
      </c>
      <c r="K32" s="193">
        <f>119814</f>
        <v>119814</v>
      </c>
      <c r="L32" s="225"/>
      <c r="M32" s="193">
        <f t="shared" ref="M32:M51" si="1">J32+K32</f>
        <v>236475.22</v>
      </c>
      <c r="O32" s="225">
        <v>242550</v>
      </c>
    </row>
    <row r="33" spans="1:17" s="55" customFormat="1" ht="20.25" x14ac:dyDescent="0.2">
      <c r="A33" s="54"/>
      <c r="B33" s="54"/>
      <c r="C33" s="58"/>
      <c r="D33" s="789" t="s">
        <v>221</v>
      </c>
      <c r="E33" s="789"/>
      <c r="F33" s="789"/>
      <c r="G33" s="193"/>
      <c r="H33" s="225"/>
      <c r="I33" s="225"/>
      <c r="J33" s="193">
        <f>24422.9+14066.9</f>
        <v>38489.800000000003</v>
      </c>
      <c r="K33" s="193">
        <f>6240+24352+13838.5</f>
        <v>44430.5</v>
      </c>
      <c r="L33" s="225"/>
      <c r="M33" s="193">
        <f t="shared" si="1"/>
        <v>82920.3</v>
      </c>
      <c r="O33" s="225">
        <v>88858</v>
      </c>
      <c r="Q33" s="204"/>
    </row>
    <row r="34" spans="1:17" s="55" customFormat="1" ht="20.25" x14ac:dyDescent="0.2">
      <c r="A34" s="54"/>
      <c r="B34" s="54"/>
      <c r="C34" s="58"/>
      <c r="D34" s="789" t="s">
        <v>112</v>
      </c>
      <c r="E34" s="789"/>
      <c r="F34" s="789"/>
      <c r="G34" s="193"/>
      <c r="H34" s="225"/>
      <c r="I34" s="225"/>
      <c r="J34" s="193">
        <f>J32*0.213+J33*0.14</f>
        <v>30237.41186</v>
      </c>
      <c r="K34" s="193">
        <f>23009.3+1310.4+4521.77+2750.44+400</f>
        <v>31991.91</v>
      </c>
      <c r="L34" s="225"/>
      <c r="M34" s="193">
        <f t="shared" si="1"/>
        <v>62229.321859999996</v>
      </c>
      <c r="O34" s="225">
        <v>60758</v>
      </c>
    </row>
    <row r="35" spans="1:17" s="55" customFormat="1" ht="20.25" x14ac:dyDescent="0.2">
      <c r="A35" s="54"/>
      <c r="B35" s="54"/>
      <c r="C35" s="58" t="s">
        <v>277</v>
      </c>
      <c r="D35" s="58"/>
      <c r="E35" s="58"/>
      <c r="F35" s="58"/>
      <c r="G35" s="193">
        <v>44745.18</v>
      </c>
      <c r="H35" s="193">
        <v>20974.21</v>
      </c>
      <c r="I35" s="193"/>
      <c r="J35" s="611"/>
      <c r="K35" s="611"/>
      <c r="L35" s="611"/>
      <c r="M35" s="193">
        <f t="shared" si="1"/>
        <v>0</v>
      </c>
      <c r="O35" s="649"/>
    </row>
    <row r="36" spans="1:17" s="55" customFormat="1" ht="20.25" x14ac:dyDescent="0.2">
      <c r="A36" s="54"/>
      <c r="B36" s="54"/>
      <c r="C36" s="58"/>
      <c r="D36" s="789" t="s">
        <v>222</v>
      </c>
      <c r="E36" s="789"/>
      <c r="F36" s="789"/>
      <c r="G36" s="193"/>
      <c r="H36" s="193"/>
      <c r="I36" s="193"/>
      <c r="J36" s="193">
        <v>16535.79</v>
      </c>
      <c r="K36" s="193">
        <v>18600</v>
      </c>
      <c r="L36" s="193"/>
      <c r="M36" s="193">
        <f t="shared" si="1"/>
        <v>35135.79</v>
      </c>
      <c r="O36" s="225">
        <v>38000</v>
      </c>
    </row>
    <row r="37" spans="1:17" s="55" customFormat="1" ht="20.25" x14ac:dyDescent="0.2">
      <c r="A37" s="54"/>
      <c r="B37" s="54"/>
      <c r="C37" s="58"/>
      <c r="D37" s="789" t="s">
        <v>223</v>
      </c>
      <c r="E37" s="789"/>
      <c r="F37" s="789"/>
      <c r="G37" s="193"/>
      <c r="H37" s="193"/>
      <c r="I37" s="193"/>
      <c r="J37" s="193">
        <v>7701.43</v>
      </c>
      <c r="K37" s="193">
        <v>5590</v>
      </c>
      <c r="L37" s="193"/>
      <c r="M37" s="193">
        <f t="shared" si="1"/>
        <v>13291.43</v>
      </c>
      <c r="O37" s="225">
        <v>26000</v>
      </c>
    </row>
    <row r="38" spans="1:17" s="55" customFormat="1" ht="20.25" x14ac:dyDescent="0.2">
      <c r="A38" s="54"/>
      <c r="B38" s="54"/>
      <c r="C38" s="58"/>
      <c r="D38" s="789" t="s">
        <v>303</v>
      </c>
      <c r="E38" s="789"/>
      <c r="F38" s="789"/>
      <c r="G38" s="193"/>
      <c r="H38" s="193"/>
      <c r="I38" s="193"/>
      <c r="J38" s="193">
        <v>7462.62</v>
      </c>
      <c r="K38" s="193">
        <v>5500</v>
      </c>
      <c r="L38" s="193"/>
      <c r="M38" s="193">
        <f t="shared" si="1"/>
        <v>12962.619999999999</v>
      </c>
      <c r="O38" s="225">
        <v>7500</v>
      </c>
    </row>
    <row r="39" spans="1:17" s="55" customFormat="1" ht="20.25" x14ac:dyDescent="0.2">
      <c r="A39" s="54"/>
      <c r="B39" s="54"/>
      <c r="C39" s="58"/>
      <c r="D39" s="789" t="s">
        <v>224</v>
      </c>
      <c r="E39" s="789"/>
      <c r="F39" s="789"/>
      <c r="G39" s="193"/>
      <c r="H39" s="193"/>
      <c r="I39" s="193"/>
      <c r="J39" s="193">
        <v>557.5</v>
      </c>
      <c r="K39" s="193">
        <v>100</v>
      </c>
      <c r="L39" s="193"/>
      <c r="M39" s="193">
        <f t="shared" si="1"/>
        <v>657.5</v>
      </c>
      <c r="O39" s="225">
        <v>275</v>
      </c>
    </row>
    <row r="40" spans="1:17" s="55" customFormat="1" ht="20.25" x14ac:dyDescent="0.2">
      <c r="A40" s="54"/>
      <c r="B40" s="54"/>
      <c r="C40" s="58" t="s">
        <v>466</v>
      </c>
      <c r="D40" s="58"/>
      <c r="E40" s="58"/>
      <c r="F40" s="58"/>
      <c r="G40" s="193">
        <v>27200</v>
      </c>
      <c r="H40" s="193">
        <v>11327</v>
      </c>
      <c r="I40" s="193"/>
      <c r="J40" s="193">
        <v>13648.5</v>
      </c>
      <c r="K40" s="193">
        <f>J40</f>
        <v>13648.5</v>
      </c>
      <c r="L40" s="193"/>
      <c r="M40" s="193">
        <f t="shared" si="1"/>
        <v>27297</v>
      </c>
      <c r="O40" s="225">
        <v>19430</v>
      </c>
      <c r="Q40" s="204"/>
    </row>
    <row r="41" spans="1:17" s="55" customFormat="1" ht="20.25" x14ac:dyDescent="0.2">
      <c r="A41" s="54"/>
      <c r="B41" s="54"/>
      <c r="C41" s="58" t="s">
        <v>103</v>
      </c>
      <c r="D41" s="58"/>
      <c r="E41" s="58"/>
      <c r="F41" s="58"/>
      <c r="G41" s="193">
        <v>150176</v>
      </c>
      <c r="H41" s="225">
        <v>47700.27</v>
      </c>
      <c r="I41" s="225"/>
      <c r="J41" s="193">
        <f>J24</f>
        <v>3516</v>
      </c>
      <c r="K41" s="193">
        <f>J41</f>
        <v>3516</v>
      </c>
      <c r="L41" s="225"/>
      <c r="M41" s="193">
        <f t="shared" si="1"/>
        <v>7032</v>
      </c>
      <c r="O41" s="225">
        <f>M41</f>
        <v>7032</v>
      </c>
    </row>
    <row r="42" spans="1:17" s="55" customFormat="1" ht="20.25" x14ac:dyDescent="0.2">
      <c r="A42" s="54"/>
      <c r="B42" s="54"/>
      <c r="C42" s="58" t="s">
        <v>312</v>
      </c>
      <c r="D42" s="58"/>
      <c r="E42" s="58"/>
      <c r="F42" s="58"/>
      <c r="G42" s="193"/>
      <c r="H42" s="225"/>
      <c r="I42" s="225"/>
      <c r="J42" s="193">
        <f>3319.32-J43</f>
        <v>2358.92</v>
      </c>
      <c r="K42" s="193">
        <f>350*6</f>
        <v>2100</v>
      </c>
      <c r="L42" s="225"/>
      <c r="M42" s="193">
        <f t="shared" si="1"/>
        <v>4458.92</v>
      </c>
      <c r="O42" s="225">
        <f>5020-O43</f>
        <v>3232</v>
      </c>
      <c r="P42" s="204"/>
    </row>
    <row r="43" spans="1:17" s="55" customFormat="1" ht="20.25" x14ac:dyDescent="0.2">
      <c r="A43" s="54"/>
      <c r="B43" s="54"/>
      <c r="C43" s="58" t="s">
        <v>541</v>
      </c>
      <c r="D43" s="58"/>
      <c r="E43" s="58"/>
      <c r="F43" s="58"/>
      <c r="G43" s="193"/>
      <c r="H43" s="225"/>
      <c r="I43" s="225"/>
      <c r="J43" s="193">
        <f>149*5+215.4</f>
        <v>960.4</v>
      </c>
      <c r="K43" s="193">
        <f>149*6</f>
        <v>894</v>
      </c>
      <c r="L43" s="225"/>
      <c r="M43" s="193">
        <f t="shared" si="1"/>
        <v>1854.4</v>
      </c>
      <c r="O43" s="225">
        <f>149*12</f>
        <v>1788</v>
      </c>
    </row>
    <row r="44" spans="1:17" s="55" customFormat="1" ht="20.25" x14ac:dyDescent="0.2">
      <c r="A44" s="54"/>
      <c r="B44" s="54"/>
      <c r="C44" s="58" t="s">
        <v>226</v>
      </c>
      <c r="D44" s="58"/>
      <c r="E44" s="58"/>
      <c r="F44" s="58"/>
      <c r="G44" s="193"/>
      <c r="H44" s="225"/>
      <c r="I44" s="225"/>
      <c r="J44" s="193">
        <f>140+673</f>
        <v>813</v>
      </c>
      <c r="K44" s="193">
        <v>0</v>
      </c>
      <c r="L44" s="225"/>
      <c r="M44" s="193">
        <f t="shared" si="1"/>
        <v>813</v>
      </c>
      <c r="O44" s="225">
        <v>1525</v>
      </c>
    </row>
    <row r="45" spans="1:17" s="55" customFormat="1" ht="20.25" x14ac:dyDescent="0.2">
      <c r="A45" s="54"/>
      <c r="B45" s="54"/>
      <c r="C45" s="58" t="s">
        <v>380</v>
      </c>
      <c r="D45" s="58"/>
      <c r="E45" s="58"/>
      <c r="F45" s="58"/>
      <c r="G45" s="193">
        <v>10993.12</v>
      </c>
      <c r="H45" s="225">
        <v>4904.57</v>
      </c>
      <c r="I45" s="225"/>
      <c r="J45" s="193">
        <v>4125.41</v>
      </c>
      <c r="K45" s="193">
        <f>J45</f>
        <v>4125.41</v>
      </c>
      <c r="L45" s="225"/>
      <c r="M45" s="193">
        <f t="shared" si="1"/>
        <v>8250.82</v>
      </c>
      <c r="O45" s="225">
        <v>8600</v>
      </c>
    </row>
    <row r="46" spans="1:17" s="55" customFormat="1" ht="20.25" x14ac:dyDescent="0.2">
      <c r="A46" s="54"/>
      <c r="B46" s="54"/>
      <c r="C46" s="58" t="s">
        <v>227</v>
      </c>
      <c r="D46" s="58"/>
      <c r="E46" s="58"/>
      <c r="F46" s="58"/>
      <c r="G46" s="193">
        <v>10250.949999999999</v>
      </c>
      <c r="H46" s="225">
        <v>3982.99</v>
      </c>
      <c r="I46" s="225"/>
      <c r="J46" s="193">
        <f>759.4+448.66</f>
        <v>1208.06</v>
      </c>
      <c r="K46" s="193">
        <v>1000</v>
      </c>
      <c r="L46" s="225"/>
      <c r="M46" s="193">
        <f t="shared" si="1"/>
        <v>2208.06</v>
      </c>
      <c r="O46" s="225">
        <v>2110</v>
      </c>
    </row>
    <row r="47" spans="1:17" s="55" customFormat="1" ht="20.25" x14ac:dyDescent="0.2">
      <c r="A47" s="54"/>
      <c r="B47" s="54"/>
      <c r="C47" s="58" t="s">
        <v>121</v>
      </c>
      <c r="D47" s="58"/>
      <c r="E47" s="58"/>
      <c r="F47" s="58"/>
      <c r="G47" s="193">
        <v>4412.53</v>
      </c>
      <c r="H47" s="226">
        <v>5667</v>
      </c>
      <c r="I47" s="226"/>
      <c r="J47" s="193">
        <v>2955.81</v>
      </c>
      <c r="K47" s="193">
        <f>J47+900</f>
        <v>3855.81</v>
      </c>
      <c r="L47" s="226"/>
      <c r="M47" s="193">
        <f t="shared" si="1"/>
        <v>6811.62</v>
      </c>
      <c r="O47" s="225">
        <v>4061</v>
      </c>
    </row>
    <row r="48" spans="1:17" s="55" customFormat="1" ht="20.25" x14ac:dyDescent="0.2">
      <c r="A48" s="54"/>
      <c r="B48" s="54"/>
      <c r="C48" s="58" t="s">
        <v>119</v>
      </c>
      <c r="D48" s="58"/>
      <c r="E48" s="58"/>
      <c r="F48" s="58"/>
      <c r="G48" s="193">
        <v>7901</v>
      </c>
      <c r="H48" s="225">
        <v>4149.6000000000004</v>
      </c>
      <c r="I48" s="225"/>
      <c r="J48" s="193">
        <v>220.65</v>
      </c>
      <c r="K48" s="193">
        <v>250</v>
      </c>
      <c r="L48" s="225"/>
      <c r="M48" s="193">
        <f t="shared" si="1"/>
        <v>470.65</v>
      </c>
      <c r="O48" s="225">
        <v>530</v>
      </c>
    </row>
    <row r="49" spans="1:17" s="55" customFormat="1" ht="20.25" hidden="1" x14ac:dyDescent="0.2">
      <c r="A49" s="54"/>
      <c r="B49" s="54"/>
      <c r="C49" s="58" t="s">
        <v>228</v>
      </c>
      <c r="D49" s="58"/>
      <c r="E49" s="58"/>
      <c r="F49" s="58"/>
      <c r="G49" s="193"/>
      <c r="H49" s="225"/>
      <c r="I49" s="225"/>
      <c r="J49" s="193"/>
      <c r="K49" s="193"/>
      <c r="L49" s="225"/>
      <c r="M49" s="193">
        <f t="shared" si="1"/>
        <v>0</v>
      </c>
      <c r="O49" s="225"/>
    </row>
    <row r="50" spans="1:17" s="55" customFormat="1" ht="20.25" x14ac:dyDescent="0.2">
      <c r="A50" s="58"/>
      <c r="B50" s="58"/>
      <c r="C50" s="58" t="s">
        <v>115</v>
      </c>
      <c r="D50" s="58"/>
      <c r="E50" s="58"/>
      <c r="F50" s="58"/>
      <c r="G50" s="193">
        <v>5428.37</v>
      </c>
      <c r="H50" s="225">
        <v>2024.52</v>
      </c>
      <c r="I50" s="225"/>
      <c r="J50" s="193">
        <v>254</v>
      </c>
      <c r="K50" s="193">
        <f>J50</f>
        <v>254</v>
      </c>
      <c r="L50" s="225"/>
      <c r="M50" s="193">
        <f t="shared" si="1"/>
        <v>508</v>
      </c>
      <c r="O50" s="225">
        <v>340</v>
      </c>
    </row>
    <row r="51" spans="1:17" s="55" customFormat="1" ht="20.25" x14ac:dyDescent="0.2">
      <c r="A51" s="58"/>
      <c r="B51" s="58"/>
      <c r="C51" s="58" t="s">
        <v>32</v>
      </c>
      <c r="D51" s="58"/>
      <c r="E51" s="58"/>
      <c r="F51" s="58"/>
      <c r="G51" s="193"/>
      <c r="H51" s="225"/>
      <c r="I51" s="225"/>
      <c r="J51" s="193">
        <f>'April''24 State of Activities'!G54</f>
        <v>2400</v>
      </c>
      <c r="K51" s="193">
        <f>624.49*6</f>
        <v>3746.94</v>
      </c>
      <c r="L51" s="225"/>
      <c r="M51" s="193">
        <f t="shared" si="1"/>
        <v>6146.9400000000005</v>
      </c>
      <c r="O51" s="225">
        <v>5933</v>
      </c>
    </row>
    <row r="52" spans="1:17" s="55" customFormat="1" ht="20.25" x14ac:dyDescent="0.2">
      <c r="A52" s="58"/>
      <c r="B52" s="58"/>
      <c r="C52" s="58" t="s">
        <v>229</v>
      </c>
      <c r="D52" s="58"/>
      <c r="E52" s="58"/>
      <c r="F52" s="58"/>
      <c r="G52" s="193">
        <v>83462.91</v>
      </c>
      <c r="H52" s="193">
        <v>18995.71</v>
      </c>
      <c r="I52" s="193"/>
      <c r="J52" s="195">
        <f>30.2+105</f>
        <v>135.19999999999999</v>
      </c>
      <c r="K52" s="195">
        <v>1000</v>
      </c>
      <c r="L52" s="193"/>
      <c r="M52" s="195">
        <f>J52+K52</f>
        <v>1135.2</v>
      </c>
      <c r="O52" s="412">
        <v>33</v>
      </c>
    </row>
    <row r="53" spans="1:17" s="55" customFormat="1" ht="21" thickBot="1" x14ac:dyDescent="0.25">
      <c r="A53" s="54"/>
      <c r="B53" s="54"/>
      <c r="C53" s="54"/>
      <c r="D53" s="54" t="s">
        <v>127</v>
      </c>
      <c r="E53" s="54"/>
      <c r="F53" s="54"/>
      <c r="G53" s="200">
        <v>1078317.8599999999</v>
      </c>
      <c r="H53" s="200">
        <v>481701.87000000005</v>
      </c>
      <c r="I53" s="193"/>
      <c r="J53" s="382">
        <f>SUM(J32:J52)</f>
        <v>250241.72186000002</v>
      </c>
      <c r="K53" s="382">
        <f>SUM(K32:K52)</f>
        <v>260417.07</v>
      </c>
      <c r="L53" s="193"/>
      <c r="M53" s="382">
        <f>SUM(M32:M52)</f>
        <v>510658.79186000006</v>
      </c>
      <c r="O53" s="382">
        <f>SUM(O32:O52)</f>
        <v>518555</v>
      </c>
      <c r="Q53" s="285"/>
    </row>
    <row r="54" spans="1:17" s="55" customFormat="1" ht="21" thickBot="1" x14ac:dyDescent="0.25">
      <c r="A54" s="54"/>
      <c r="B54" s="54"/>
      <c r="C54" s="54"/>
      <c r="D54" s="54" t="s">
        <v>128</v>
      </c>
      <c r="E54" s="54"/>
      <c r="F54" s="54"/>
      <c r="G54" s="200">
        <v>233082.39000000013</v>
      </c>
      <c r="H54" s="200">
        <v>82291.709999999905</v>
      </c>
      <c r="I54" s="193"/>
      <c r="J54" s="383">
        <f>J28-J53</f>
        <v>-114199.58186000001</v>
      </c>
      <c r="K54" s="383">
        <f>K28-K53</f>
        <v>-36801.900000000023</v>
      </c>
      <c r="L54" s="193"/>
      <c r="M54" s="731">
        <f>M28-M53</f>
        <v>-151001.48186000006</v>
      </c>
      <c r="O54" s="731">
        <f>O28-O53</f>
        <v>-180955</v>
      </c>
    </row>
    <row r="55" spans="1:17" s="55" customFormat="1" ht="20.25" x14ac:dyDescent="0.2">
      <c r="A55" s="54"/>
      <c r="B55" s="54"/>
      <c r="C55" s="54"/>
      <c r="D55" s="54"/>
      <c r="E55" s="54"/>
      <c r="F55" s="54"/>
      <c r="G55" s="193"/>
      <c r="H55" s="193"/>
      <c r="I55" s="193"/>
      <c r="J55" s="193"/>
      <c r="K55" s="193"/>
      <c r="L55" s="193"/>
      <c r="M55" s="193"/>
    </row>
    <row r="56" spans="1:17" s="52" customFormat="1" ht="26.25" x14ac:dyDescent="0.2">
      <c r="A56" s="219"/>
      <c r="B56" s="219"/>
      <c r="C56" s="58" t="s">
        <v>562</v>
      </c>
      <c r="E56" s="58"/>
      <c r="F56" s="58"/>
      <c r="G56" s="221"/>
      <c r="H56" s="193"/>
      <c r="I56" s="193"/>
      <c r="J56" s="193">
        <f>-28362.53+J51</f>
        <v>-25962.53</v>
      </c>
      <c r="K56" s="730">
        <f>(2917*-6)+K51</f>
        <v>-13755.06</v>
      </c>
      <c r="L56" s="193"/>
      <c r="M56" s="193">
        <f>J56+K56</f>
        <v>-39717.589999999997</v>
      </c>
      <c r="O56" s="225">
        <f>-21875</f>
        <v>-21875</v>
      </c>
    </row>
    <row r="57" spans="1:17" s="55" customFormat="1" ht="20.25" x14ac:dyDescent="0.2">
      <c r="A57" s="54"/>
      <c r="B57" s="54"/>
      <c r="C57" s="58" t="s">
        <v>448</v>
      </c>
      <c r="E57" s="54"/>
      <c r="G57" s="193"/>
      <c r="H57" s="193"/>
      <c r="I57" s="193"/>
      <c r="J57" s="193">
        <f>J40</f>
        <v>13648.5</v>
      </c>
      <c r="K57" s="193">
        <f>K40</f>
        <v>13648.5</v>
      </c>
      <c r="L57" s="193"/>
      <c r="M57" s="193">
        <f>M40</f>
        <v>27297</v>
      </c>
      <c r="O57" s="225">
        <f>O40</f>
        <v>19430</v>
      </c>
    </row>
    <row r="58" spans="1:17" s="55" customFormat="1" ht="24" thickBot="1" x14ac:dyDescent="0.25">
      <c r="A58" s="54"/>
      <c r="B58" s="222"/>
      <c r="C58" s="54"/>
      <c r="D58" s="792" t="s">
        <v>231</v>
      </c>
      <c r="E58" s="792"/>
      <c r="F58" s="792"/>
      <c r="G58" s="193"/>
      <c r="H58" s="193"/>
      <c r="I58" s="193"/>
      <c r="J58" s="384">
        <f>J54+J56+J57</f>
        <v>-126513.61186</v>
      </c>
      <c r="K58" s="384">
        <f>K54+K56+K57</f>
        <v>-36908.460000000021</v>
      </c>
      <c r="L58" s="202"/>
      <c r="M58" s="384">
        <f>M54+M56+M57</f>
        <v>-163422.07186000005</v>
      </c>
      <c r="N58" s="318"/>
      <c r="O58" s="384">
        <f>O54+O56+O57</f>
        <v>-183400</v>
      </c>
    </row>
    <row r="59" spans="1:17" s="55" customFormat="1" ht="42" customHeight="1" thickTop="1" x14ac:dyDescent="0.2">
      <c r="A59" s="54"/>
      <c r="B59" s="54"/>
      <c r="C59" s="54"/>
      <c r="D59" s="54"/>
      <c r="E59" s="54"/>
      <c r="F59" s="54"/>
      <c r="G59" s="193"/>
      <c r="H59" s="193"/>
      <c r="I59" s="193"/>
      <c r="J59" s="193"/>
      <c r="K59" s="193"/>
      <c r="L59" s="193"/>
      <c r="M59" s="193"/>
    </row>
    <row r="60" spans="1:17" s="55" customFormat="1" ht="20.25" x14ac:dyDescent="0.2">
      <c r="A60" s="58"/>
      <c r="B60" s="58"/>
      <c r="C60" s="58" t="s">
        <v>576</v>
      </c>
      <c r="D60" s="58"/>
      <c r="E60" s="58"/>
      <c r="F60" s="58"/>
      <c r="G60" s="193"/>
      <c r="H60" s="193"/>
      <c r="I60" s="193"/>
      <c r="J60" s="193"/>
      <c r="K60" s="193"/>
      <c r="L60" s="193"/>
      <c r="M60" s="193"/>
    </row>
    <row r="61" spans="1:17" s="55" customFormat="1" ht="20.25" x14ac:dyDescent="0.3">
      <c r="A61" s="58"/>
      <c r="B61" s="58"/>
      <c r="C61" s="676" t="s">
        <v>478</v>
      </c>
      <c r="D61" s="45"/>
      <c r="E61" s="45"/>
      <c r="F61" s="607"/>
      <c r="G61" s="227"/>
      <c r="H61" s="227"/>
      <c r="I61" s="675"/>
      <c r="J61" s="193"/>
      <c r="K61" s="193"/>
      <c r="L61" s="193"/>
      <c r="M61" s="193"/>
    </row>
    <row r="62" spans="1:17" s="55" customFormat="1" ht="20.25" customHeight="1" x14ac:dyDescent="0.2">
      <c r="A62" s="58"/>
      <c r="B62" s="58"/>
      <c r="C62" s="790" t="s">
        <v>479</v>
      </c>
      <c r="D62" s="790"/>
      <c r="E62" s="790"/>
      <c r="F62" s="790"/>
      <c r="G62" s="790"/>
      <c r="H62" s="790"/>
      <c r="I62" s="790"/>
      <c r="J62" s="790"/>
      <c r="K62" s="790"/>
      <c r="L62" s="790"/>
      <c r="M62" s="790"/>
      <c r="N62" s="790"/>
      <c r="O62" s="790"/>
    </row>
    <row r="63" spans="1:17" s="55" customFormat="1" ht="29.25" customHeight="1" x14ac:dyDescent="0.2">
      <c r="A63" s="58"/>
      <c r="B63" s="58"/>
      <c r="C63" s="791" t="s">
        <v>522</v>
      </c>
      <c r="D63" s="791"/>
      <c r="E63" s="791"/>
      <c r="F63" s="791"/>
      <c r="G63" s="791"/>
      <c r="H63" s="791"/>
      <c r="I63" s="791"/>
      <c r="J63" s="791"/>
      <c r="K63" s="791"/>
      <c r="L63" s="791"/>
      <c r="M63" s="791"/>
      <c r="N63" s="791"/>
      <c r="O63" s="791"/>
    </row>
    <row r="64" spans="1:17" s="55" customFormat="1" ht="20.25" x14ac:dyDescent="0.25">
      <c r="A64" s="54"/>
      <c r="B64" s="54"/>
      <c r="C64" s="441" t="s">
        <v>480</v>
      </c>
      <c r="D64" s="45"/>
      <c r="E64" s="45"/>
      <c r="F64" s="607"/>
      <c r="G64" s="675"/>
      <c r="H64" s="675"/>
      <c r="I64" s="675"/>
      <c r="J64" s="196"/>
      <c r="K64" s="196"/>
      <c r="L64" s="196"/>
      <c r="M64" s="196"/>
    </row>
    <row r="65" spans="1:15" s="55" customFormat="1" ht="20.25" x14ac:dyDescent="0.25">
      <c r="A65" s="54"/>
      <c r="B65" s="54"/>
      <c r="C65" s="441" t="s">
        <v>520</v>
      </c>
      <c r="D65" s="45"/>
      <c r="E65" s="45"/>
      <c r="F65" s="607"/>
      <c r="G65" s="675"/>
      <c r="H65" s="675"/>
      <c r="I65" s="675"/>
      <c r="J65" s="196"/>
      <c r="K65" s="196"/>
      <c r="L65" s="196"/>
      <c r="M65" s="196"/>
    </row>
    <row r="66" spans="1:15" s="55" customFormat="1" ht="23.25" customHeight="1" x14ac:dyDescent="0.2">
      <c r="A66" s="54"/>
      <c r="B66" s="222"/>
      <c r="C66" s="790" t="s">
        <v>521</v>
      </c>
      <c r="D66" s="790"/>
      <c r="E66" s="790"/>
      <c r="F66" s="790"/>
      <c r="G66" s="790"/>
      <c r="H66" s="790"/>
      <c r="I66" s="790"/>
      <c r="J66" s="790"/>
      <c r="K66" s="790"/>
      <c r="L66" s="790"/>
      <c r="M66" s="790"/>
      <c r="N66" s="790"/>
      <c r="O66" s="790"/>
    </row>
    <row r="67" spans="1:15" s="55" customFormat="1" ht="20.25" x14ac:dyDescent="0.25">
      <c r="A67" s="58"/>
      <c r="B67" s="58"/>
      <c r="C67" s="229" t="s">
        <v>511</v>
      </c>
      <c r="D67" s="45"/>
      <c r="E67" s="45"/>
      <c r="F67" s="607"/>
      <c r="G67" s="675"/>
      <c r="H67" s="675"/>
      <c r="I67" s="675"/>
      <c r="J67" s="193"/>
      <c r="K67" s="193"/>
      <c r="L67" s="193"/>
      <c r="M67" s="193"/>
    </row>
    <row r="68" spans="1:15" s="55" customFormat="1" ht="20.25" x14ac:dyDescent="0.25">
      <c r="A68" s="58"/>
      <c r="B68" s="58"/>
      <c r="C68" s="229">
        <v>1</v>
      </c>
      <c r="D68" s="229" t="s">
        <v>512</v>
      </c>
      <c r="E68" s="45"/>
      <c r="F68" s="607"/>
      <c r="G68" s="675"/>
      <c r="H68" s="675"/>
      <c r="I68" s="675"/>
      <c r="J68" s="193"/>
      <c r="K68" s="193"/>
      <c r="L68" s="193"/>
      <c r="M68" s="193"/>
    </row>
    <row r="69" spans="1:15" s="55" customFormat="1" ht="20.25" x14ac:dyDescent="0.25">
      <c r="A69" s="54"/>
      <c r="B69" s="54"/>
      <c r="C69" s="229">
        <v>2</v>
      </c>
      <c r="D69" s="229" t="s">
        <v>518</v>
      </c>
      <c r="E69" s="45"/>
      <c r="F69" s="607"/>
      <c r="G69"/>
      <c r="H69"/>
      <c r="I69"/>
      <c r="J69" s="193"/>
      <c r="K69" s="193"/>
      <c r="L69" s="193"/>
      <c r="M69" s="193"/>
    </row>
    <row r="70" spans="1:15" s="55" customFormat="1" ht="23.25" x14ac:dyDescent="0.25">
      <c r="A70" s="54"/>
      <c r="B70" s="222"/>
      <c r="C70" s="229">
        <v>3</v>
      </c>
      <c r="D70" s="229" t="s">
        <v>519</v>
      </c>
      <c r="E70" s="45"/>
      <c r="F70" s="607"/>
      <c r="G70"/>
      <c r="H70"/>
      <c r="I70"/>
      <c r="J70" s="196"/>
      <c r="K70" s="196"/>
      <c r="L70" s="196"/>
      <c r="M70" s="196"/>
    </row>
    <row r="71" spans="1:15" s="55" customFormat="1" ht="20.25" x14ac:dyDescent="0.25">
      <c r="A71" s="54"/>
      <c r="B71" s="54"/>
      <c r="C71" s="229">
        <v>4</v>
      </c>
      <c r="D71" s="229" t="s">
        <v>514</v>
      </c>
      <c r="E71" s="45"/>
      <c r="F71" s="607"/>
      <c r="G71"/>
      <c r="H71"/>
      <c r="I71"/>
      <c r="J71" s="193"/>
      <c r="K71" s="193"/>
      <c r="L71" s="193"/>
      <c r="M71" s="193"/>
    </row>
    <row r="72" spans="1:15" s="62" customFormat="1" ht="26.25" x14ac:dyDescent="0.25">
      <c r="A72" s="219"/>
      <c r="B72" s="219"/>
      <c r="C72" s="229" t="s">
        <v>513</v>
      </c>
      <c r="D72" s="229"/>
      <c r="E72" s="45"/>
      <c r="F72" s="607"/>
      <c r="G72"/>
      <c r="H72"/>
      <c r="I72"/>
      <c r="J72" s="196"/>
      <c r="K72" s="196"/>
      <c r="L72" s="196"/>
      <c r="M72" s="196"/>
    </row>
    <row r="73" spans="1:15" ht="20.25" x14ac:dyDescent="0.3">
      <c r="C73" s="229" t="s">
        <v>516</v>
      </c>
      <c r="D73" s="229"/>
      <c r="F73" s="607"/>
      <c r="G73"/>
      <c r="J73" s="227"/>
      <c r="K73" s="227"/>
      <c r="L73" s="227"/>
      <c r="M73" s="227"/>
    </row>
    <row r="74" spans="1:15" ht="20.25" x14ac:dyDescent="0.3">
      <c r="C74" s="229">
        <v>1</v>
      </c>
      <c r="D74" s="229" t="s">
        <v>515</v>
      </c>
      <c r="F74" s="88"/>
      <c r="G74"/>
      <c r="J74" s="227"/>
      <c r="K74" s="227"/>
      <c r="L74" s="227"/>
      <c r="M74" s="227"/>
    </row>
    <row r="75" spans="1:15" ht="20.25" x14ac:dyDescent="0.3">
      <c r="C75" s="229">
        <v>2</v>
      </c>
      <c r="D75" s="229" t="s">
        <v>517</v>
      </c>
      <c r="F75" s="88"/>
      <c r="G75"/>
      <c r="J75" s="227"/>
      <c r="K75" s="227"/>
      <c r="L75" s="227"/>
      <c r="M75" s="227"/>
    </row>
    <row r="76" spans="1:15" ht="20.25" x14ac:dyDescent="0.3">
      <c r="C76" s="229" t="s">
        <v>513</v>
      </c>
      <c r="D76" s="229"/>
      <c r="G76"/>
      <c r="J76" s="224"/>
      <c r="K76" s="224"/>
      <c r="L76" s="224"/>
      <c r="M76" s="224"/>
    </row>
    <row r="77" spans="1:15" x14ac:dyDescent="0.2">
      <c r="C77" s="229" t="s">
        <v>529</v>
      </c>
      <c r="D77" s="229"/>
      <c r="G77"/>
    </row>
    <row r="78" spans="1:15" x14ac:dyDescent="0.2">
      <c r="C78" s="229" t="s">
        <v>530</v>
      </c>
      <c r="D78" s="229"/>
      <c r="G78"/>
    </row>
  </sheetData>
  <mergeCells count="13">
    <mergeCell ref="C62:O62"/>
    <mergeCell ref="C63:O63"/>
    <mergeCell ref="C66:O66"/>
    <mergeCell ref="J6:M6"/>
    <mergeCell ref="C23:F23"/>
    <mergeCell ref="D32:F32"/>
    <mergeCell ref="D33:F33"/>
    <mergeCell ref="D34:F34"/>
    <mergeCell ref="D36:F36"/>
    <mergeCell ref="D37:F37"/>
    <mergeCell ref="D38:F38"/>
    <mergeCell ref="D39:F39"/>
    <mergeCell ref="D58:F58"/>
  </mergeCells>
  <pageMargins left="0.7" right="0.7" top="0.75" bottom="0.75" header="0.3" footer="0.3"/>
  <pageSetup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17"/>
  <sheetViews>
    <sheetView zoomScale="75" zoomScaleNormal="75" workbookViewId="0">
      <selection activeCell="S11" sqref="S11"/>
    </sheetView>
  </sheetViews>
  <sheetFormatPr defaultRowHeight="14.25" x14ac:dyDescent="0.2"/>
  <cols>
    <col min="1" max="1" width="2.875" customWidth="1"/>
    <col min="2" max="2" width="8.125" customWidth="1"/>
    <col min="3" max="3" width="8.75" customWidth="1"/>
    <col min="4" max="4" width="5.75" customWidth="1"/>
    <col min="5" max="5" width="2.875" customWidth="1"/>
    <col min="6" max="6" width="51.375" bestFit="1" customWidth="1"/>
    <col min="7" max="7" width="24.25" customWidth="1"/>
    <col min="8" max="10" width="24.125" customWidth="1"/>
    <col min="11" max="11" width="22.875" bestFit="1" customWidth="1"/>
  </cols>
  <sheetData>
    <row r="1" spans="1:11" ht="26.25" x14ac:dyDescent="0.4">
      <c r="A1" s="46" t="s">
        <v>93</v>
      </c>
      <c r="B1" s="47"/>
      <c r="C1" s="48"/>
      <c r="D1" s="48"/>
      <c r="E1" s="48"/>
      <c r="F1" s="47"/>
      <c r="G1" s="47"/>
      <c r="H1" s="47"/>
      <c r="I1" s="47"/>
      <c r="J1" s="47"/>
      <c r="K1" s="47"/>
    </row>
    <row r="2" spans="1:11" ht="26.25" x14ac:dyDescent="0.4">
      <c r="A2" s="46" t="s">
        <v>212</v>
      </c>
      <c r="B2" s="47"/>
      <c r="C2" s="48"/>
      <c r="D2" s="48"/>
      <c r="E2" s="48"/>
      <c r="F2" s="47"/>
      <c r="G2" s="47"/>
      <c r="H2" s="47"/>
      <c r="I2" s="47"/>
      <c r="J2" s="47"/>
      <c r="K2" s="47"/>
    </row>
    <row r="3" spans="1:11" ht="26.25" x14ac:dyDescent="0.4">
      <c r="A3" s="46" t="s">
        <v>481</v>
      </c>
      <c r="B3" s="47"/>
      <c r="C3" s="48"/>
      <c r="D3" s="48"/>
      <c r="E3" s="48"/>
      <c r="F3" s="47"/>
      <c r="G3" s="47"/>
      <c r="H3" s="47"/>
      <c r="I3" s="47"/>
      <c r="J3" s="47"/>
      <c r="K3" s="47"/>
    </row>
    <row r="4" spans="1:11" ht="21" thickBot="1" x14ac:dyDescent="0.25">
      <c r="A4" s="49"/>
      <c r="B4" s="49"/>
      <c r="C4" s="49"/>
      <c r="D4" s="49"/>
      <c r="E4" s="49"/>
      <c r="F4" s="49"/>
      <c r="G4" s="49"/>
      <c r="H4" s="49"/>
      <c r="I4" s="49"/>
      <c r="J4" s="50"/>
      <c r="K4" s="269"/>
    </row>
    <row r="5" spans="1:11" ht="27.75" thickTop="1" thickBot="1" x14ac:dyDescent="0.25">
      <c r="A5" s="51" t="s">
        <v>107</v>
      </c>
      <c r="B5" s="51"/>
      <c r="C5" s="51"/>
      <c r="D5" s="51"/>
      <c r="E5" s="51"/>
      <c r="F5" s="51"/>
      <c r="G5" s="51"/>
      <c r="H5" s="51"/>
      <c r="I5" s="51"/>
      <c r="J5" s="327"/>
      <c r="K5" s="681"/>
    </row>
    <row r="6" spans="1:11" ht="21" thickTop="1" x14ac:dyDescent="0.2">
      <c r="A6" s="54"/>
      <c r="B6" s="54"/>
      <c r="C6" s="54"/>
      <c r="D6" s="54"/>
      <c r="E6" s="54"/>
      <c r="F6" s="54"/>
      <c r="G6" s="54"/>
      <c r="H6" s="54"/>
      <c r="I6" s="54"/>
      <c r="J6" s="55"/>
      <c r="K6" s="55"/>
    </row>
    <row r="7" spans="1:11" ht="21" thickBot="1" x14ac:dyDescent="0.35">
      <c r="A7" s="56"/>
      <c r="B7" s="120" t="s">
        <v>99</v>
      </c>
      <c r="C7" s="120"/>
      <c r="D7" s="120"/>
      <c r="E7" s="120"/>
      <c r="F7" s="120"/>
      <c r="G7" s="542">
        <v>43465</v>
      </c>
      <c r="H7" s="542">
        <v>43830</v>
      </c>
      <c r="I7" s="542">
        <v>44196</v>
      </c>
      <c r="J7" s="542">
        <v>44561</v>
      </c>
      <c r="K7" s="542">
        <v>44926</v>
      </c>
    </row>
    <row r="8" spans="1:11" ht="20.25" x14ac:dyDescent="0.2">
      <c r="A8" s="54"/>
      <c r="B8" s="54"/>
      <c r="C8" s="58" t="s">
        <v>149</v>
      </c>
      <c r="D8" s="58"/>
      <c r="E8" s="58"/>
      <c r="F8" s="54"/>
      <c r="G8" s="202">
        <f>153461+3123</f>
        <v>156584</v>
      </c>
      <c r="H8" s="202">
        <v>158721</v>
      </c>
      <c r="I8" s="202">
        <f>68070.06</f>
        <v>68070.06</v>
      </c>
      <c r="J8" s="202">
        <v>85646.89</v>
      </c>
      <c r="K8" s="202">
        <v>84478</v>
      </c>
    </row>
    <row r="9" spans="1:11" ht="20.25" x14ac:dyDescent="0.2">
      <c r="A9" s="54"/>
      <c r="B9" s="54"/>
      <c r="C9" s="58" t="s">
        <v>213</v>
      </c>
      <c r="D9" s="58"/>
      <c r="E9" s="58"/>
      <c r="F9" s="54"/>
      <c r="G9" s="193">
        <v>20332</v>
      </c>
      <c r="H9" s="193">
        <v>12278.42</v>
      </c>
      <c r="I9" s="193">
        <v>16169.1</v>
      </c>
      <c r="J9" s="193">
        <v>34505.879999999997</v>
      </c>
      <c r="K9" s="193">
        <v>13806</v>
      </c>
    </row>
    <row r="10" spans="1:11" ht="20.25" x14ac:dyDescent="0.2">
      <c r="A10" s="54"/>
      <c r="B10" s="54"/>
      <c r="C10" s="58" t="s">
        <v>387</v>
      </c>
      <c r="D10" s="58"/>
      <c r="E10" s="58"/>
      <c r="F10" s="54"/>
      <c r="G10" s="193"/>
      <c r="H10" s="193">
        <v>10616</v>
      </c>
      <c r="I10" s="193">
        <v>3260</v>
      </c>
      <c r="J10" s="193">
        <v>0</v>
      </c>
      <c r="K10" s="193">
        <v>32978</v>
      </c>
    </row>
    <row r="11" spans="1:11" ht="20.25" x14ac:dyDescent="0.2">
      <c r="A11" s="54"/>
      <c r="B11" s="54"/>
      <c r="C11" s="58" t="s">
        <v>101</v>
      </c>
      <c r="D11" s="58"/>
      <c r="E11" s="58"/>
      <c r="F11" s="54"/>
      <c r="G11" s="193"/>
      <c r="H11" s="193"/>
      <c r="I11" s="193"/>
      <c r="J11" s="193"/>
      <c r="K11" s="193"/>
    </row>
    <row r="12" spans="1:11" ht="20.25" x14ac:dyDescent="0.2">
      <c r="A12" s="54"/>
      <c r="B12" s="54"/>
      <c r="C12" s="55"/>
      <c r="D12" s="58" t="s">
        <v>214</v>
      </c>
      <c r="E12" s="58"/>
      <c r="F12" s="54"/>
      <c r="G12" s="193">
        <v>42500</v>
      </c>
      <c r="H12" s="193">
        <v>44499.96</v>
      </c>
      <c r="I12" s="193">
        <f>3750*12</f>
        <v>45000</v>
      </c>
      <c r="J12" s="193">
        <v>45500</v>
      </c>
      <c r="K12" s="193">
        <v>46000</v>
      </c>
    </row>
    <row r="13" spans="1:11" ht="20.25" x14ac:dyDescent="0.2">
      <c r="A13" s="54"/>
      <c r="B13" s="54"/>
      <c r="C13" s="55"/>
      <c r="D13" s="58" t="s">
        <v>158</v>
      </c>
      <c r="E13" s="58"/>
      <c r="F13" s="54"/>
      <c r="G13" s="193">
        <v>9000</v>
      </c>
      <c r="H13" s="193">
        <v>13000</v>
      </c>
      <c r="I13" s="193">
        <v>18000</v>
      </c>
      <c r="J13" s="193">
        <v>18000</v>
      </c>
      <c r="K13" s="193">
        <v>18000</v>
      </c>
    </row>
    <row r="14" spans="1:11" ht="20.25" x14ac:dyDescent="0.2">
      <c r="A14" s="54"/>
      <c r="B14" s="54"/>
      <c r="C14" s="58" t="s">
        <v>102</v>
      </c>
      <c r="D14" s="58"/>
      <c r="E14" s="58"/>
      <c r="F14" s="54"/>
      <c r="G14" s="193">
        <v>12796</v>
      </c>
      <c r="H14" s="193">
        <v>13071.46</v>
      </c>
      <c r="I14" s="193">
        <v>12695.06</v>
      </c>
      <c r="J14" s="193">
        <v>17445.740000000002</v>
      </c>
      <c r="K14" s="193">
        <v>17485</v>
      </c>
    </row>
    <row r="15" spans="1:11" ht="20.25" x14ac:dyDescent="0.2">
      <c r="A15" s="54"/>
      <c r="B15" s="54"/>
      <c r="C15" s="58" t="s">
        <v>482</v>
      </c>
      <c r="D15" s="58"/>
      <c r="E15" s="58"/>
      <c r="F15" s="54"/>
      <c r="G15" s="193">
        <f>25000</f>
        <v>25000</v>
      </c>
      <c r="H15" s="193">
        <v>71886</v>
      </c>
      <c r="I15" s="193">
        <v>77911.459999999992</v>
      </c>
      <c r="J15" s="193">
        <v>80378.48</v>
      </c>
      <c r="K15" s="193">
        <f>27500+3340</f>
        <v>30840</v>
      </c>
    </row>
    <row r="16" spans="1:11" ht="20.25" x14ac:dyDescent="0.2">
      <c r="A16" s="54"/>
      <c r="B16" s="54"/>
      <c r="C16" s="58" t="s">
        <v>348</v>
      </c>
      <c r="D16" s="58"/>
      <c r="E16" s="58"/>
      <c r="F16" s="54"/>
      <c r="G16" s="193">
        <f>659</f>
        <v>659</v>
      </c>
      <c r="H16" s="193">
        <v>7946</v>
      </c>
      <c r="I16" s="193">
        <v>255.74</v>
      </c>
      <c r="J16" s="193">
        <v>3312.47</v>
      </c>
      <c r="K16" s="193"/>
    </row>
    <row r="17" spans="1:11" ht="21" thickBot="1" x14ac:dyDescent="0.25">
      <c r="A17" s="54"/>
      <c r="B17" s="54"/>
      <c r="C17" s="58" t="s">
        <v>216</v>
      </c>
      <c r="D17" s="58"/>
      <c r="E17" s="58"/>
      <c r="F17" s="54"/>
      <c r="G17" s="200">
        <v>9315</v>
      </c>
      <c r="H17" s="200">
        <v>9315</v>
      </c>
      <c r="I17" s="200">
        <v>9315</v>
      </c>
      <c r="J17" s="200">
        <v>10548</v>
      </c>
      <c r="K17" s="200">
        <v>10548</v>
      </c>
    </row>
    <row r="18" spans="1:11" ht="20.25" x14ac:dyDescent="0.2">
      <c r="A18" s="54"/>
      <c r="B18" s="54"/>
      <c r="C18" s="58"/>
      <c r="D18" s="54" t="s">
        <v>104</v>
      </c>
      <c r="E18" s="58"/>
      <c r="F18" s="54"/>
      <c r="G18" s="193">
        <f>SUM(G8:G17)</f>
        <v>276186</v>
      </c>
      <c r="H18" s="193">
        <f>SUM(H8:H17)</f>
        <v>341333.83999999997</v>
      </c>
      <c r="I18" s="193">
        <f>SUM(I8:I17)</f>
        <v>250676.41999999998</v>
      </c>
      <c r="J18" s="193">
        <f>SUM(J8:J17)</f>
        <v>295337.45999999996</v>
      </c>
      <c r="K18" s="193">
        <f>SUM(K8:K17)</f>
        <v>254135</v>
      </c>
    </row>
    <row r="19" spans="1:11" ht="20.25" x14ac:dyDescent="0.2">
      <c r="A19" s="54"/>
      <c r="B19" s="54"/>
      <c r="C19" s="54" t="s">
        <v>217</v>
      </c>
      <c r="D19" s="58"/>
      <c r="E19" s="58"/>
      <c r="F19" s="54"/>
      <c r="G19" s="193">
        <v>19000</v>
      </c>
      <c r="H19" s="193">
        <v>19000</v>
      </c>
      <c r="I19" s="193">
        <v>19000</v>
      </c>
      <c r="J19" s="193">
        <v>18500</v>
      </c>
      <c r="K19" s="193">
        <f>13333/8*12</f>
        <v>19999.5</v>
      </c>
    </row>
    <row r="20" spans="1:11" ht="21" thickBot="1" x14ac:dyDescent="0.25">
      <c r="A20" s="54"/>
      <c r="B20" s="54"/>
      <c r="C20" s="54" t="s">
        <v>218</v>
      </c>
      <c r="D20" s="58"/>
      <c r="E20" s="58"/>
      <c r="F20" s="54"/>
      <c r="G20" s="200">
        <v>37641</v>
      </c>
      <c r="H20" s="200">
        <v>37834</v>
      </c>
      <c r="I20" s="200">
        <v>34669.31</v>
      </c>
      <c r="J20" s="200">
        <v>26400.720000000001</v>
      </c>
      <c r="K20" s="200">
        <v>43041</v>
      </c>
    </row>
    <row r="21" spans="1:11" ht="20.25" x14ac:dyDescent="0.2">
      <c r="A21" s="54"/>
      <c r="B21" s="54"/>
      <c r="C21" s="58"/>
      <c r="D21" s="54" t="s">
        <v>106</v>
      </c>
      <c r="E21" s="58"/>
      <c r="F21" s="54"/>
      <c r="G21" s="193">
        <f>SUM(G18:G20)</f>
        <v>332827</v>
      </c>
      <c r="H21" s="193">
        <f>SUM(H18:H20)</f>
        <v>398167.83999999997</v>
      </c>
      <c r="I21" s="193">
        <f>SUM(I18:I20)</f>
        <v>304345.73</v>
      </c>
      <c r="J21" s="193">
        <f>SUM(J18:J20)</f>
        <v>340238.17999999993</v>
      </c>
      <c r="K21" s="193">
        <f>SUM(K18:K20)</f>
        <v>317175.5</v>
      </c>
    </row>
    <row r="22" spans="1:11" ht="20.25" x14ac:dyDescent="0.2">
      <c r="A22" s="54"/>
      <c r="B22" s="54"/>
      <c r="C22" s="58"/>
      <c r="D22" s="54"/>
      <c r="E22" s="58"/>
      <c r="F22" s="54" t="s">
        <v>483</v>
      </c>
      <c r="G22" s="193"/>
      <c r="H22" s="193">
        <v>-46886</v>
      </c>
      <c r="I22" s="193"/>
      <c r="J22" s="193"/>
      <c r="K22" s="193"/>
    </row>
    <row r="23" spans="1:11" ht="20.25" x14ac:dyDescent="0.2">
      <c r="A23" s="54"/>
      <c r="B23" s="54"/>
      <c r="C23" s="58"/>
      <c r="D23" s="54" t="s">
        <v>484</v>
      </c>
      <c r="E23" s="58"/>
      <c r="F23" s="54"/>
      <c r="G23" s="193"/>
      <c r="H23" s="193">
        <f>SUM(H21:H22)</f>
        <v>351281.83999999997</v>
      </c>
      <c r="I23" s="193"/>
      <c r="J23" s="193"/>
      <c r="K23" s="193"/>
    </row>
    <row r="24" spans="1:11" ht="20.25" x14ac:dyDescent="0.2">
      <c r="A24" s="54"/>
      <c r="B24" s="54"/>
      <c r="C24" s="58"/>
      <c r="D24" s="54"/>
      <c r="E24" s="58"/>
      <c r="F24" s="54"/>
      <c r="G24" s="54"/>
      <c r="H24" s="54"/>
      <c r="I24" s="54"/>
      <c r="J24" s="480"/>
      <c r="K24" s="480"/>
    </row>
    <row r="25" spans="1:11" ht="21" thickBot="1" x14ac:dyDescent="0.25">
      <c r="A25" s="54"/>
      <c r="B25" s="66" t="s">
        <v>110</v>
      </c>
      <c r="C25" s="66"/>
      <c r="D25" s="66"/>
      <c r="E25" s="66"/>
      <c r="F25" s="66"/>
      <c r="G25" s="54"/>
      <c r="H25" s="54"/>
      <c r="I25" s="54"/>
      <c r="J25" s="55"/>
      <c r="K25" s="55"/>
    </row>
    <row r="26" spans="1:11" ht="20.25" x14ac:dyDescent="0.2">
      <c r="A26" s="54"/>
      <c r="B26" s="54"/>
      <c r="C26" s="58" t="s">
        <v>219</v>
      </c>
      <c r="D26" s="58"/>
      <c r="E26" s="58"/>
      <c r="F26" s="58"/>
      <c r="G26" s="58"/>
      <c r="H26" s="58"/>
      <c r="I26" s="58"/>
      <c r="J26" s="225"/>
      <c r="K26" s="225"/>
    </row>
    <row r="27" spans="1:11" ht="20.25" x14ac:dyDescent="0.2">
      <c r="A27" s="54"/>
      <c r="B27" s="54"/>
      <c r="C27" s="58"/>
      <c r="D27" s="789" t="s">
        <v>220</v>
      </c>
      <c r="E27" s="789"/>
      <c r="F27" s="789"/>
      <c r="G27" s="193">
        <v>146508</v>
      </c>
      <c r="H27" s="193">
        <v>162253.75</v>
      </c>
      <c r="I27" s="193">
        <v>133830.65</v>
      </c>
      <c r="J27" s="193">
        <v>155035.70000000001</v>
      </c>
      <c r="K27" s="193">
        <v>205058</v>
      </c>
    </row>
    <row r="28" spans="1:11" ht="20.25" x14ac:dyDescent="0.2">
      <c r="A28" s="54"/>
      <c r="B28" s="54"/>
      <c r="C28" s="58"/>
      <c r="D28" s="789" t="s">
        <v>221</v>
      </c>
      <c r="E28" s="789"/>
      <c r="F28" s="789"/>
      <c r="G28" s="193">
        <v>59928</v>
      </c>
      <c r="H28" s="193">
        <f>37966.12+23862.63+605.03+106.59</f>
        <v>62540.369999999995</v>
      </c>
      <c r="I28" s="193">
        <f>44061.17+21220.39</f>
        <v>65281.56</v>
      </c>
      <c r="J28" s="193">
        <f>43631.85+27917.65</f>
        <v>71549.5</v>
      </c>
      <c r="K28" s="193">
        <v>78236</v>
      </c>
    </row>
    <row r="29" spans="1:11" ht="20.25" x14ac:dyDescent="0.2">
      <c r="A29" s="54"/>
      <c r="B29" s="54"/>
      <c r="C29" s="58"/>
      <c r="D29" s="789" t="s">
        <v>112</v>
      </c>
      <c r="E29" s="789"/>
      <c r="F29" s="789"/>
      <c r="G29" s="193">
        <v>39636</v>
      </c>
      <c r="H29" s="193">
        <v>42279.58</v>
      </c>
      <c r="I29" s="193">
        <v>36601</v>
      </c>
      <c r="J29" s="193">
        <f>J27*0.213+J28*0.14</f>
        <v>43039.534100000004</v>
      </c>
      <c r="K29" s="193">
        <f>K27*0.213+K28*0.14</f>
        <v>54630.394</v>
      </c>
    </row>
    <row r="30" spans="1:11" ht="20.25" x14ac:dyDescent="0.2">
      <c r="A30" s="54"/>
      <c r="B30" s="54"/>
      <c r="C30" s="58" t="s">
        <v>277</v>
      </c>
      <c r="D30" s="58"/>
      <c r="E30" s="58"/>
      <c r="F30" s="58"/>
      <c r="G30" s="611"/>
      <c r="H30" s="611"/>
      <c r="I30" s="611"/>
      <c r="J30" s="611"/>
      <c r="K30" s="611"/>
    </row>
    <row r="31" spans="1:11" ht="20.25" x14ac:dyDescent="0.2">
      <c r="A31" s="54"/>
      <c r="B31" s="54"/>
      <c r="C31" s="58"/>
      <c r="D31" s="789" t="s">
        <v>222</v>
      </c>
      <c r="E31" s="789"/>
      <c r="F31" s="789"/>
      <c r="G31" s="193">
        <v>27184</v>
      </c>
      <c r="H31" s="193">
        <v>25472.83</v>
      </c>
      <c r="I31" s="193">
        <v>15135.29</v>
      </c>
      <c r="J31" s="193">
        <v>25112.19</v>
      </c>
      <c r="K31" s="193">
        <v>37937</v>
      </c>
    </row>
    <row r="32" spans="1:11" ht="20.25" x14ac:dyDescent="0.2">
      <c r="A32" s="54"/>
      <c r="B32" s="54"/>
      <c r="C32" s="58"/>
      <c r="D32" s="789" t="s">
        <v>223</v>
      </c>
      <c r="E32" s="789"/>
      <c r="F32" s="789"/>
      <c r="G32" s="193">
        <v>15511</v>
      </c>
      <c r="H32" s="193">
        <v>17989.87</v>
      </c>
      <c r="I32" s="193">
        <v>22636.98</v>
      </c>
      <c r="J32" s="193">
        <v>23957.25</v>
      </c>
      <c r="K32" s="193">
        <v>25355</v>
      </c>
    </row>
    <row r="33" spans="1:11" ht="20.25" x14ac:dyDescent="0.2">
      <c r="A33" s="54"/>
      <c r="B33" s="54"/>
      <c r="C33" s="58"/>
      <c r="D33" s="789" t="s">
        <v>303</v>
      </c>
      <c r="E33" s="789"/>
      <c r="F33" s="789"/>
      <c r="G33" s="193">
        <v>12450</v>
      </c>
      <c r="H33" s="193">
        <v>16090.9</v>
      </c>
      <c r="I33" s="193">
        <v>11030.88</v>
      </c>
      <c r="J33" s="193">
        <v>19504.66</v>
      </c>
      <c r="K33" s="193">
        <v>10952</v>
      </c>
    </row>
    <row r="34" spans="1:11" ht="20.25" x14ac:dyDescent="0.2">
      <c r="A34" s="54"/>
      <c r="B34" s="54"/>
      <c r="C34" s="58"/>
      <c r="D34" s="789" t="s">
        <v>224</v>
      </c>
      <c r="E34" s="789"/>
      <c r="F34" s="789"/>
      <c r="G34" s="193">
        <v>377</v>
      </c>
      <c r="H34" s="193">
        <v>1427.75</v>
      </c>
      <c r="I34" s="193">
        <v>397</v>
      </c>
      <c r="J34" s="193">
        <v>663</v>
      </c>
      <c r="K34" s="193">
        <v>744</v>
      </c>
    </row>
    <row r="35" spans="1:11" ht="20.25" x14ac:dyDescent="0.2">
      <c r="A35" s="54"/>
      <c r="B35" s="54"/>
      <c r="C35" s="58" t="s">
        <v>466</v>
      </c>
      <c r="D35" s="58"/>
      <c r="E35" s="58"/>
      <c r="F35" s="58"/>
      <c r="G35" s="193">
        <v>25080</v>
      </c>
      <c r="H35" s="193">
        <f>22438.68+1591</f>
        <v>24029.68</v>
      </c>
      <c r="I35" s="193">
        <f>29909+1860</f>
        <v>31769</v>
      </c>
      <c r="J35" s="193">
        <f>1903+28481</f>
        <v>30384</v>
      </c>
      <c r="K35" s="193">
        <v>31133</v>
      </c>
    </row>
    <row r="36" spans="1:11" ht="20.25" x14ac:dyDescent="0.2">
      <c r="A36" s="54"/>
      <c r="B36" s="54"/>
      <c r="C36" s="58" t="s">
        <v>103</v>
      </c>
      <c r="D36" s="58"/>
      <c r="E36" s="58"/>
      <c r="F36" s="58"/>
      <c r="G36" s="193">
        <f>G17</f>
        <v>9315</v>
      </c>
      <c r="H36" s="193">
        <f>H17</f>
        <v>9315</v>
      </c>
      <c r="I36" s="193">
        <f>I17</f>
        <v>9315</v>
      </c>
      <c r="J36" s="193">
        <f>J17</f>
        <v>10548</v>
      </c>
      <c r="K36" s="193">
        <f>K17</f>
        <v>10548</v>
      </c>
    </row>
    <row r="37" spans="1:11" ht="20.25" x14ac:dyDescent="0.2">
      <c r="A37" s="54"/>
      <c r="B37" s="54"/>
      <c r="C37" s="58" t="s">
        <v>555</v>
      </c>
      <c r="D37" s="58"/>
      <c r="E37" s="58"/>
      <c r="F37" s="58"/>
      <c r="G37" s="193">
        <v>4075</v>
      </c>
      <c r="H37" s="193">
        <v>4497</v>
      </c>
      <c r="I37" s="193">
        <v>4682.25</v>
      </c>
      <c r="J37" s="193">
        <v>4231.88</v>
      </c>
      <c r="K37" s="193">
        <f>3948.9+400+400+447</f>
        <v>5195.8999999999996</v>
      </c>
    </row>
    <row r="38" spans="1:11" ht="20.25" x14ac:dyDescent="0.2">
      <c r="A38" s="54"/>
      <c r="B38" s="54"/>
      <c r="C38" s="58" t="s">
        <v>226</v>
      </c>
      <c r="D38" s="58"/>
      <c r="E38" s="58"/>
      <c r="F38" s="58"/>
      <c r="G38" s="193">
        <v>1496</v>
      </c>
      <c r="H38" s="193">
        <f>75+874</f>
        <v>949</v>
      </c>
      <c r="I38" s="193">
        <v>982</v>
      </c>
      <c r="J38" s="193">
        <f>99+937</f>
        <v>1036</v>
      </c>
      <c r="K38" s="193">
        <v>2293</v>
      </c>
    </row>
    <row r="39" spans="1:11" ht="20.25" x14ac:dyDescent="0.2">
      <c r="A39" s="54"/>
      <c r="B39" s="54"/>
      <c r="C39" s="58" t="s">
        <v>380</v>
      </c>
      <c r="D39" s="58"/>
      <c r="E39" s="58"/>
      <c r="F39" s="58"/>
      <c r="G39" s="193">
        <v>3430</v>
      </c>
      <c r="H39" s="193">
        <v>4436.1400000000003</v>
      </c>
      <c r="I39" s="193">
        <v>7774.44</v>
      </c>
      <c r="J39" s="193">
        <f>7884.62+184.74</f>
        <v>8069.36</v>
      </c>
      <c r="K39" s="193">
        <v>8659</v>
      </c>
    </row>
    <row r="40" spans="1:11" ht="20.25" x14ac:dyDescent="0.2">
      <c r="A40" s="54"/>
      <c r="B40" s="54"/>
      <c r="C40" s="58" t="s">
        <v>227</v>
      </c>
      <c r="D40" s="58"/>
      <c r="E40" s="58"/>
      <c r="F40" s="58"/>
      <c r="G40" s="193">
        <v>459</v>
      </c>
      <c r="H40" s="193">
        <f>223.01+568.51</f>
        <v>791.52</v>
      </c>
      <c r="I40" s="193">
        <v>636.94000000000005</v>
      </c>
      <c r="J40" s="193">
        <f>958.23+28.31+10.3+36.4+4907.37</f>
        <v>5940.61</v>
      </c>
      <c r="K40" s="193">
        <v>1734</v>
      </c>
    </row>
    <row r="41" spans="1:11" ht="20.25" x14ac:dyDescent="0.2">
      <c r="A41" s="54"/>
      <c r="B41" s="54"/>
      <c r="C41" s="58" t="s">
        <v>121</v>
      </c>
      <c r="D41" s="58"/>
      <c r="E41" s="58"/>
      <c r="F41" s="58"/>
      <c r="G41" s="193">
        <v>1041</v>
      </c>
      <c r="H41" s="193">
        <v>1826.56</v>
      </c>
      <c r="I41" s="193">
        <v>2528.2399999999998</v>
      </c>
      <c r="J41" s="193">
        <v>3426.72</v>
      </c>
      <c r="K41" s="193">
        <v>5037</v>
      </c>
    </row>
    <row r="42" spans="1:11" ht="20.25" x14ac:dyDescent="0.2">
      <c r="A42" s="54"/>
      <c r="B42" s="54"/>
      <c r="C42" s="58" t="s">
        <v>119</v>
      </c>
      <c r="D42" s="58"/>
      <c r="E42" s="58"/>
      <c r="F42" s="58"/>
      <c r="G42" s="193">
        <v>436</v>
      </c>
      <c r="H42" s="193">
        <v>396.82</v>
      </c>
      <c r="I42" s="193">
        <v>385.18</v>
      </c>
      <c r="J42" s="193">
        <v>420.52</v>
      </c>
      <c r="K42" s="193">
        <v>659</v>
      </c>
    </row>
    <row r="43" spans="1:11" ht="20.25" x14ac:dyDescent="0.2">
      <c r="A43" s="54"/>
      <c r="B43" s="54"/>
      <c r="C43" s="58" t="s">
        <v>228</v>
      </c>
      <c r="D43" s="58"/>
      <c r="E43" s="58"/>
      <c r="F43" s="58"/>
      <c r="G43" s="193"/>
      <c r="H43" s="193"/>
      <c r="I43" s="193"/>
      <c r="J43" s="193"/>
      <c r="K43" s="193"/>
    </row>
    <row r="44" spans="1:11" ht="20.25" x14ac:dyDescent="0.2">
      <c r="A44" s="58"/>
      <c r="B44" s="58"/>
      <c r="C44" s="58" t="s">
        <v>115</v>
      </c>
      <c r="D44" s="58"/>
      <c r="E44" s="58"/>
      <c r="F44" s="58"/>
      <c r="G44" s="193">
        <v>205</v>
      </c>
      <c r="H44" s="193">
        <v>422.62</v>
      </c>
      <c r="I44" s="193">
        <v>265.58</v>
      </c>
      <c r="J44" s="193">
        <v>225.92</v>
      </c>
      <c r="K44" s="193">
        <v>278</v>
      </c>
    </row>
    <row r="45" spans="1:11" ht="20.25" x14ac:dyDescent="0.2">
      <c r="A45" s="58"/>
      <c r="B45" s="58"/>
      <c r="C45" s="58" t="s">
        <v>229</v>
      </c>
      <c r="D45" s="58"/>
      <c r="E45" s="58"/>
      <c r="F45" s="58"/>
      <c r="G45" s="195">
        <v>542</v>
      </c>
      <c r="H45" s="195">
        <f>248.22+18.56+28.25+5</f>
        <v>300.02999999999997</v>
      </c>
      <c r="I45" s="195">
        <v>938.98</v>
      </c>
      <c r="J45" s="195">
        <f>292.24+4514.12-J37+84.23</f>
        <v>658.70999999999958</v>
      </c>
      <c r="K45" s="195">
        <f>586+1269-304+292-0.5</f>
        <v>1842.5</v>
      </c>
    </row>
    <row r="46" spans="1:11" ht="21" thickBot="1" x14ac:dyDescent="0.25">
      <c r="A46" s="54"/>
      <c r="B46" s="54"/>
      <c r="C46" s="54"/>
      <c r="D46" s="54" t="s">
        <v>127</v>
      </c>
      <c r="E46" s="54"/>
      <c r="F46" s="54"/>
      <c r="G46" s="382">
        <f>SUM(G27:G45)</f>
        <v>347673</v>
      </c>
      <c r="H46" s="382">
        <f>SUM(H27:H45)</f>
        <v>375019.4200000001</v>
      </c>
      <c r="I46" s="382">
        <f>SUM(I27:I45)</f>
        <v>344190.97</v>
      </c>
      <c r="J46" s="382">
        <f>SUM(J27:J45)</f>
        <v>403803.55409999995</v>
      </c>
      <c r="K46" s="382">
        <f>SUM(K27:K45)</f>
        <v>480291.79399999999</v>
      </c>
    </row>
    <row r="47" spans="1:11" ht="21" thickBot="1" x14ac:dyDescent="0.25">
      <c r="A47" s="54"/>
      <c r="B47" s="54"/>
      <c r="C47" s="54"/>
      <c r="D47" s="54" t="s">
        <v>128</v>
      </c>
      <c r="E47" s="54"/>
      <c r="F47" s="54"/>
      <c r="G47" s="383">
        <f>G21-G46</f>
        <v>-14846</v>
      </c>
      <c r="H47" s="383">
        <f>H21-H46</f>
        <v>23148.419999999867</v>
      </c>
      <c r="I47" s="383">
        <f>I21-I46</f>
        <v>-39845.239999999991</v>
      </c>
      <c r="J47" s="383">
        <f>J21-J46</f>
        <v>-63565.374100000015</v>
      </c>
      <c r="K47" s="383">
        <f>K21-K46</f>
        <v>-163116.29399999999</v>
      </c>
    </row>
    <row r="48" spans="1:11" ht="20.25" x14ac:dyDescent="0.2">
      <c r="A48" s="54"/>
      <c r="B48" s="54"/>
      <c r="C48" s="54"/>
      <c r="D48" s="54"/>
      <c r="E48" s="54"/>
      <c r="F48" s="54"/>
      <c r="G48" s="54"/>
      <c r="H48" s="54"/>
      <c r="I48" s="193"/>
      <c r="J48" s="193"/>
      <c r="K48" s="193"/>
    </row>
    <row r="49" spans="1:11" ht="26.25" x14ac:dyDescent="0.2">
      <c r="A49" s="219"/>
      <c r="B49" s="219"/>
      <c r="C49" s="58" t="s">
        <v>264</v>
      </c>
      <c r="D49" s="52"/>
      <c r="E49" s="58"/>
      <c r="F49" s="58"/>
      <c r="G49" s="686"/>
      <c r="H49" s="686">
        <f>-69500</f>
        <v>-69500</v>
      </c>
      <c r="I49" s="58"/>
      <c r="J49" s="193"/>
      <c r="K49" s="193"/>
    </row>
    <row r="50" spans="1:11" ht="20.25" x14ac:dyDescent="0.2">
      <c r="A50" s="54"/>
      <c r="B50" s="54"/>
      <c r="C50" s="58" t="s">
        <v>448</v>
      </c>
      <c r="D50" s="55"/>
      <c r="E50" s="54"/>
      <c r="F50" s="55"/>
      <c r="G50" s="193">
        <f>G35</f>
        <v>25080</v>
      </c>
      <c r="H50" s="193">
        <f>H35</f>
        <v>24029.68</v>
      </c>
      <c r="I50" s="193">
        <f>I35</f>
        <v>31769</v>
      </c>
      <c r="J50" s="193">
        <f>J35</f>
        <v>30384</v>
      </c>
      <c r="K50" s="193">
        <f>K35</f>
        <v>31133</v>
      </c>
    </row>
    <row r="51" spans="1:11" ht="24" thickBot="1" x14ac:dyDescent="0.25">
      <c r="A51" s="54"/>
      <c r="B51" s="222"/>
      <c r="C51" s="54"/>
      <c r="D51" s="792" t="s">
        <v>231</v>
      </c>
      <c r="E51" s="792"/>
      <c r="F51" s="792"/>
      <c r="G51" s="384">
        <f>G47+G49+G50</f>
        <v>10234</v>
      </c>
      <c r="H51" s="384">
        <f>H47+H49+H50</f>
        <v>-22321.900000000132</v>
      </c>
      <c r="I51" s="384">
        <f>I47+I49+I50</f>
        <v>-8076.2399999999907</v>
      </c>
      <c r="J51" s="384">
        <f>J47+J49+J50</f>
        <v>-33181.374100000015</v>
      </c>
      <c r="K51" s="384">
        <f>K47+K49+K50</f>
        <v>-131983.29399999999</v>
      </c>
    </row>
    <row r="52" spans="1:11" ht="21" thickTop="1" x14ac:dyDescent="0.2">
      <c r="A52" s="54"/>
      <c r="B52" s="54"/>
      <c r="C52" s="54"/>
      <c r="D52" s="54"/>
      <c r="E52" s="54"/>
      <c r="F52" s="54"/>
      <c r="G52" s="54"/>
      <c r="H52" s="54"/>
      <c r="I52" s="54"/>
      <c r="J52" s="193"/>
      <c r="K52" s="193"/>
    </row>
    <row r="53" spans="1:11" ht="20.25" x14ac:dyDescent="0.2">
      <c r="A53" s="58"/>
      <c r="B53" s="58"/>
      <c r="C53" s="58"/>
      <c r="D53" s="58"/>
      <c r="E53" s="55"/>
      <c r="F53" s="58" t="s">
        <v>308</v>
      </c>
      <c r="G53" s="193">
        <v>225930</v>
      </c>
      <c r="H53" s="193">
        <v>227723</v>
      </c>
      <c r="I53" s="193">
        <v>178666</v>
      </c>
      <c r="J53" s="193">
        <v>206080</v>
      </c>
      <c r="K53" s="193">
        <v>227490</v>
      </c>
    </row>
    <row r="54" spans="1:11" ht="21" thickBot="1" x14ac:dyDescent="0.25">
      <c r="A54" s="58"/>
      <c r="B54" s="58"/>
      <c r="C54" s="58"/>
      <c r="D54" s="58"/>
      <c r="E54" s="55"/>
      <c r="F54" s="58" t="s">
        <v>313</v>
      </c>
      <c r="G54" s="492">
        <f>(G46-G35-G36)/G53</f>
        <v>1.386615323330235</v>
      </c>
      <c r="H54" s="492">
        <f>(H46-H35-H36)/H53</f>
        <v>1.5003962709080774</v>
      </c>
      <c r="I54" s="492">
        <f>(I46-I35-I36)/I53</f>
        <v>1.6965005653006167</v>
      </c>
      <c r="J54" s="492">
        <f>(J46-J35-J36)/J53</f>
        <v>1.7608285816187885</v>
      </c>
      <c r="K54" s="492">
        <f>(K46-K35-K36)/K53</f>
        <v>1.9280442832651985</v>
      </c>
    </row>
    <row r="55" spans="1:11" ht="20.25" x14ac:dyDescent="0.2">
      <c r="A55" s="58"/>
      <c r="B55" s="58"/>
      <c r="C55" s="58"/>
      <c r="D55" s="58"/>
      <c r="E55" s="55"/>
      <c r="F55" s="58"/>
      <c r="G55" s="58"/>
      <c r="H55" s="193"/>
      <c r="I55" s="193"/>
      <c r="J55" s="193"/>
      <c r="K55" s="193"/>
    </row>
    <row r="56" spans="1:11" ht="20.25" x14ac:dyDescent="0.2">
      <c r="A56" s="58"/>
      <c r="B56" s="58"/>
      <c r="C56" s="58"/>
      <c r="D56" s="58"/>
      <c r="E56" s="55"/>
      <c r="F56" s="58" t="s">
        <v>309</v>
      </c>
      <c r="G56" s="193">
        <v>15755</v>
      </c>
      <c r="H56" s="193">
        <v>16457</v>
      </c>
      <c r="I56" s="193">
        <v>10151</v>
      </c>
      <c r="J56" s="193">
        <v>10428</v>
      </c>
      <c r="K56" s="193">
        <v>11449</v>
      </c>
    </row>
    <row r="57" spans="1:11" ht="21" thickBot="1" x14ac:dyDescent="0.25">
      <c r="A57" s="58"/>
      <c r="B57" s="58"/>
      <c r="C57" s="58"/>
      <c r="D57" s="58"/>
      <c r="E57" s="55"/>
      <c r="F57" s="58" t="s">
        <v>369</v>
      </c>
      <c r="G57" s="492">
        <f>(G46-G35-G36)/G56</f>
        <v>19.884354173278325</v>
      </c>
      <c r="H57" s="492">
        <f>(H46-H35-H36)/H56</f>
        <v>20.761666160296535</v>
      </c>
      <c r="I57" s="492">
        <f>(I46-I35-I36)/I56</f>
        <v>29.859813811447147</v>
      </c>
      <c r="J57" s="492">
        <f>(J46-J35-J36)/J56</f>
        <v>34.797809177215186</v>
      </c>
      <c r="K57" s="492">
        <f>(K46-K35-K36)/K56</f>
        <v>38.309965411826362</v>
      </c>
    </row>
    <row r="58" spans="1:11" ht="20.25" x14ac:dyDescent="0.2">
      <c r="A58" s="58"/>
      <c r="B58" s="58"/>
      <c r="C58" s="58"/>
      <c r="D58" s="58"/>
      <c r="E58" s="55"/>
      <c r="F58" s="58"/>
      <c r="G58" s="58"/>
      <c r="H58" s="193"/>
      <c r="I58" s="193"/>
      <c r="J58" s="193"/>
      <c r="K58" s="193"/>
    </row>
    <row r="59" spans="1:11" ht="20.25" hidden="1" x14ac:dyDescent="0.2">
      <c r="A59" s="58"/>
      <c r="B59" s="58"/>
      <c r="C59" s="54"/>
      <c r="D59" s="58"/>
      <c r="E59" s="55"/>
      <c r="F59" s="58" t="s">
        <v>310</v>
      </c>
      <c r="G59" s="58"/>
      <c r="H59" s="193">
        <v>2102</v>
      </c>
      <c r="I59" s="193">
        <v>2696</v>
      </c>
      <c r="J59" s="193">
        <v>2714</v>
      </c>
      <c r="K59" s="193">
        <v>2714</v>
      </c>
    </row>
    <row r="60" spans="1:11" ht="21" hidden="1" thickBot="1" x14ac:dyDescent="0.25">
      <c r="A60" s="58"/>
      <c r="B60" s="58"/>
      <c r="C60" s="58"/>
      <c r="D60" s="58"/>
      <c r="E60" s="58"/>
      <c r="F60" s="58" t="s">
        <v>370</v>
      </c>
      <c r="G60" s="58"/>
      <c r="H60" s="492">
        <f>H9/H59</f>
        <v>5.8413035204567079</v>
      </c>
      <c r="I60" s="492">
        <f>I8/I59</f>
        <v>25.248538575667656</v>
      </c>
      <c r="J60" s="492">
        <f>J8/J59</f>
        <v>31.557439204126752</v>
      </c>
      <c r="K60" s="492">
        <f>K8/K59</f>
        <v>31.12675018422992</v>
      </c>
    </row>
    <row r="61" spans="1:11" ht="20.25" hidden="1" x14ac:dyDescent="0.2">
      <c r="A61" s="58"/>
      <c r="B61" s="58"/>
      <c r="C61" s="54"/>
      <c r="D61" s="54"/>
      <c r="E61" s="55"/>
      <c r="F61" s="55"/>
      <c r="G61" s="55"/>
      <c r="H61" s="55"/>
      <c r="I61" s="193"/>
      <c r="J61" s="193"/>
      <c r="K61" s="193"/>
    </row>
    <row r="62" spans="1:11" ht="20.25" hidden="1" x14ac:dyDescent="0.2">
      <c r="A62" s="58"/>
      <c r="B62" s="58"/>
      <c r="C62" s="58"/>
      <c r="D62" s="58"/>
      <c r="E62" s="58"/>
      <c r="F62" s="58" t="s">
        <v>486</v>
      </c>
      <c r="G62" s="58"/>
      <c r="H62" s="193">
        <v>195138</v>
      </c>
      <c r="I62" s="193">
        <v>104281</v>
      </c>
      <c r="J62" s="193">
        <v>114885</v>
      </c>
      <c r="K62" s="193">
        <v>134000</v>
      </c>
    </row>
    <row r="63" spans="1:11" ht="21" hidden="1" thickBot="1" x14ac:dyDescent="0.25">
      <c r="A63" s="58"/>
      <c r="B63" s="58"/>
      <c r="C63" s="58"/>
      <c r="D63" s="58"/>
      <c r="E63" s="58"/>
      <c r="F63" s="58" t="s">
        <v>313</v>
      </c>
      <c r="G63" s="58"/>
      <c r="H63" s="492">
        <f>(H46-H35-H36)/H62</f>
        <v>1.7509390277649668</v>
      </c>
      <c r="I63" s="492">
        <f>(I46-I35-I36)/I62</f>
        <v>2.9066365876813607</v>
      </c>
      <c r="J63" s="492">
        <f>(J46-J35-J36)/J62</f>
        <v>3.1585633816425118</v>
      </c>
      <c r="K63" s="492">
        <f>(K46-K35-K36)/K62</f>
        <v>3.2732148805970147</v>
      </c>
    </row>
    <row r="64" spans="1:11" ht="20.25" hidden="1" x14ac:dyDescent="0.2">
      <c r="A64" s="58"/>
      <c r="B64" s="58"/>
      <c r="C64" s="54"/>
      <c r="D64" s="58"/>
      <c r="E64" s="55"/>
      <c r="F64" s="58"/>
      <c r="G64" s="58"/>
      <c r="H64" s="58"/>
      <c r="I64" s="193"/>
      <c r="J64" s="193"/>
      <c r="K64" s="193"/>
    </row>
    <row r="65" spans="1:11" ht="20.25" hidden="1" x14ac:dyDescent="0.2">
      <c r="A65" s="58"/>
      <c r="B65" s="58"/>
      <c r="C65" s="54"/>
      <c r="D65" s="58"/>
      <c r="E65" s="55"/>
      <c r="F65" s="58" t="s">
        <v>486</v>
      </c>
      <c r="G65" s="58"/>
      <c r="H65" s="193">
        <v>195138</v>
      </c>
      <c r="I65" s="193">
        <v>104281</v>
      </c>
      <c r="J65" s="193">
        <v>114885</v>
      </c>
      <c r="K65" s="193">
        <f>K62</f>
        <v>134000</v>
      </c>
    </row>
    <row r="66" spans="1:11" ht="20.25" hidden="1" x14ac:dyDescent="0.2">
      <c r="A66" s="58"/>
      <c r="B66" s="58"/>
      <c r="C66" s="54"/>
      <c r="D66" s="58"/>
      <c r="E66" s="55"/>
      <c r="F66" s="58" t="s">
        <v>309</v>
      </c>
      <c r="G66" s="58"/>
      <c r="H66" s="193">
        <v>16457</v>
      </c>
      <c r="I66" s="193">
        <v>10151</v>
      </c>
      <c r="J66" s="193">
        <v>10428</v>
      </c>
      <c r="K66" s="193">
        <f>K56</f>
        <v>11449</v>
      </c>
    </row>
    <row r="67" spans="1:11" ht="21" hidden="1" thickBot="1" x14ac:dyDescent="0.25">
      <c r="A67" s="58"/>
      <c r="B67" s="58"/>
      <c r="C67" s="58"/>
      <c r="D67" s="58"/>
      <c r="E67" s="58"/>
      <c r="F67" s="58" t="s">
        <v>487</v>
      </c>
      <c r="G67" s="58"/>
      <c r="H67" s="687">
        <f>H65/H66</f>
        <v>11.857446679224646</v>
      </c>
      <c r="I67" s="687">
        <f>I65/I66</f>
        <v>10.272978031721014</v>
      </c>
      <c r="J67" s="687">
        <f>J65/J66</f>
        <v>11.016973532796317</v>
      </c>
      <c r="K67" s="687">
        <f>K65/K66</f>
        <v>11.704078958861036</v>
      </c>
    </row>
    <row r="68" spans="1:11" ht="20.25" hidden="1" x14ac:dyDescent="0.2">
      <c r="A68" s="54"/>
      <c r="B68" s="54"/>
      <c r="C68" s="54"/>
      <c r="D68" s="54"/>
      <c r="E68" s="54"/>
      <c r="F68" s="54"/>
      <c r="G68" s="54"/>
      <c r="H68" s="54"/>
      <c r="I68" s="196"/>
      <c r="J68" s="196"/>
      <c r="K68" s="196"/>
    </row>
    <row r="69" spans="1:11" ht="20.25" hidden="1" x14ac:dyDescent="0.2">
      <c r="A69" s="54"/>
      <c r="B69" s="54"/>
      <c r="C69" s="54"/>
      <c r="D69" s="54"/>
      <c r="E69" s="54"/>
      <c r="F69" s="58" t="s">
        <v>488</v>
      </c>
      <c r="G69" s="58"/>
      <c r="H69" s="193">
        <v>227723</v>
      </c>
      <c r="I69" s="193">
        <v>178666</v>
      </c>
      <c r="J69" s="193">
        <v>206080</v>
      </c>
      <c r="K69" s="193">
        <f>K53</f>
        <v>227490</v>
      </c>
    </row>
    <row r="70" spans="1:11" ht="20.25" hidden="1" x14ac:dyDescent="0.2">
      <c r="A70" s="54"/>
      <c r="B70" s="54"/>
      <c r="C70" s="54"/>
      <c r="D70" s="54"/>
      <c r="E70" s="54"/>
      <c r="F70" s="58" t="s">
        <v>309</v>
      </c>
      <c r="G70" s="58"/>
      <c r="H70" s="193">
        <v>16457</v>
      </c>
      <c r="I70" s="193">
        <v>10151</v>
      </c>
      <c r="J70" s="193">
        <v>10428</v>
      </c>
      <c r="K70" s="193">
        <f>K56</f>
        <v>11449</v>
      </c>
    </row>
    <row r="71" spans="1:11" ht="21" hidden="1" thickBot="1" x14ac:dyDescent="0.25">
      <c r="A71" s="54"/>
      <c r="B71" s="54"/>
      <c r="C71" s="54"/>
      <c r="D71" s="54"/>
      <c r="E71" s="54"/>
      <c r="F71" s="58" t="s">
        <v>489</v>
      </c>
      <c r="G71" s="58"/>
      <c r="H71" s="687">
        <f>H69/H70</f>
        <v>13.837455186242936</v>
      </c>
      <c r="I71" s="687">
        <f>I69/I70</f>
        <v>17.600827504679341</v>
      </c>
      <c r="J71" s="687">
        <f>J69/J70</f>
        <v>19.762178749520523</v>
      </c>
      <c r="K71" s="687">
        <f>K69/K70</f>
        <v>19.869857629487292</v>
      </c>
    </row>
    <row r="72" spans="1:11" ht="20.25" hidden="1" x14ac:dyDescent="0.2">
      <c r="A72" s="54"/>
      <c r="B72" s="54"/>
      <c r="C72" s="54"/>
      <c r="D72" s="54"/>
      <c r="E72" s="54"/>
      <c r="F72" s="58"/>
      <c r="G72" s="58"/>
      <c r="H72" s="688"/>
      <c r="I72" s="688"/>
      <c r="J72" s="688"/>
      <c r="K72" s="688"/>
    </row>
    <row r="73" spans="1:11" ht="20.25" hidden="1" x14ac:dyDescent="0.2">
      <c r="A73" s="54"/>
      <c r="B73" s="54"/>
      <c r="C73" s="54"/>
      <c r="D73" s="54"/>
      <c r="E73" s="54"/>
      <c r="F73" s="689" t="s">
        <v>490</v>
      </c>
      <c r="G73" s="689"/>
      <c r="H73" s="54"/>
      <c r="I73" s="54"/>
      <c r="J73" s="196"/>
      <c r="K73" s="196"/>
    </row>
    <row r="74" spans="1:11" ht="20.25" hidden="1" x14ac:dyDescent="0.2">
      <c r="A74" s="54"/>
      <c r="B74" s="54"/>
      <c r="C74" s="54"/>
      <c r="D74" s="54"/>
      <c r="E74" s="54"/>
      <c r="F74" s="54" t="s">
        <v>491</v>
      </c>
      <c r="G74" s="54"/>
      <c r="H74" s="690">
        <f t="shared" ref="H74:J74" si="0">H27+(H27*0.21)+H31+H33</f>
        <v>237890.76749999999</v>
      </c>
      <c r="I74" s="690">
        <f t="shared" si="0"/>
        <v>188101.25649999999</v>
      </c>
      <c r="J74" s="690">
        <f t="shared" si="0"/>
        <v>232210.04700000002</v>
      </c>
      <c r="K74" s="690">
        <f>K27+(K27*0.2)+K31+K33</f>
        <v>294958.59999999998</v>
      </c>
    </row>
    <row r="75" spans="1:11" ht="23.25" hidden="1" x14ac:dyDescent="0.2">
      <c r="A75" s="54"/>
      <c r="B75" s="222"/>
      <c r="C75" s="54"/>
      <c r="D75" s="54"/>
      <c r="E75" s="54"/>
      <c r="F75" s="54" t="s">
        <v>492</v>
      </c>
      <c r="G75" s="54"/>
      <c r="H75" s="196">
        <f>H46-H74-H76</f>
        <v>103783.97250000012</v>
      </c>
      <c r="I75" s="196">
        <f>I46-I74-I76</f>
        <v>115005.71349999998</v>
      </c>
      <c r="J75" s="196">
        <f>J46-J74-J76</f>
        <v>130661.50709999993</v>
      </c>
      <c r="K75" s="196">
        <f>K46-K74-K76</f>
        <v>143652.19400000002</v>
      </c>
    </row>
    <row r="76" spans="1:11" ht="20.25" hidden="1" x14ac:dyDescent="0.2">
      <c r="A76" s="58"/>
      <c r="B76" s="58"/>
      <c r="C76" s="55"/>
      <c r="D76" s="58"/>
      <c r="E76" s="58"/>
      <c r="F76" s="54" t="s">
        <v>493</v>
      </c>
      <c r="G76" s="54"/>
      <c r="H76" s="196">
        <f>H35+H36</f>
        <v>33344.68</v>
      </c>
      <c r="I76" s="196">
        <f>I35+I36</f>
        <v>41084</v>
      </c>
      <c r="J76" s="196">
        <f>J35+J36</f>
        <v>40932</v>
      </c>
      <c r="K76" s="196">
        <f>K35+K36</f>
        <v>41681</v>
      </c>
    </row>
    <row r="77" spans="1:11" ht="21" hidden="1" thickBot="1" x14ac:dyDescent="0.25">
      <c r="A77" s="58"/>
      <c r="B77" s="58"/>
      <c r="C77" s="55"/>
      <c r="D77" s="58"/>
      <c r="E77" s="58"/>
      <c r="F77" s="54" t="s">
        <v>494</v>
      </c>
      <c r="G77" s="54"/>
      <c r="H77" s="692">
        <f>SUM(H74:H76)</f>
        <v>375019.4200000001</v>
      </c>
      <c r="I77" s="692">
        <f>SUM(I74:I76)</f>
        <v>344190.97</v>
      </c>
      <c r="J77" s="692">
        <f>SUM(J74:J76)</f>
        <v>403803.55409999995</v>
      </c>
      <c r="K77" s="692">
        <f>SUM(K74:K76)</f>
        <v>480291.79399999999</v>
      </c>
    </row>
    <row r="78" spans="1:11" ht="21" hidden="1" thickTop="1" x14ac:dyDescent="0.2">
      <c r="A78" s="58"/>
      <c r="B78" s="58"/>
      <c r="C78" s="55"/>
      <c r="D78" s="58"/>
      <c r="E78" s="58"/>
      <c r="F78" s="54" t="s">
        <v>495</v>
      </c>
      <c r="G78" s="54"/>
      <c r="H78" s="693">
        <v>195138</v>
      </c>
      <c r="I78" s="693">
        <v>104281</v>
      </c>
      <c r="J78" s="694">
        <f>J62</f>
        <v>114885</v>
      </c>
      <c r="K78" s="694">
        <f>K62</f>
        <v>134000</v>
      </c>
    </row>
    <row r="79" spans="1:11" ht="20.25" hidden="1" x14ac:dyDescent="0.2">
      <c r="A79" s="58"/>
      <c r="B79" s="58"/>
      <c r="C79" s="55"/>
      <c r="D79" s="58"/>
      <c r="E79" s="58"/>
      <c r="F79" s="54" t="s">
        <v>496</v>
      </c>
      <c r="G79" s="54"/>
      <c r="H79" s="695">
        <f>H74/H78</f>
        <v>1.2190899132921316</v>
      </c>
      <c r="I79" s="695">
        <f>I74/I78</f>
        <v>1.8037922200592629</v>
      </c>
      <c r="J79" s="695">
        <f>J74/J78</f>
        <v>2.0212390390390391</v>
      </c>
      <c r="K79" s="695">
        <f>K74/K78</f>
        <v>2.201183582089552</v>
      </c>
    </row>
    <row r="80" spans="1:11" ht="20.25" hidden="1" x14ac:dyDescent="0.2">
      <c r="A80" s="58"/>
      <c r="B80" s="58"/>
      <c r="C80" s="55"/>
      <c r="D80" s="58"/>
      <c r="E80" s="58"/>
      <c r="F80" s="54" t="s">
        <v>497</v>
      </c>
      <c r="G80" s="54"/>
      <c r="H80" s="695">
        <f>H75/H56</f>
        <v>6.3063725162544886</v>
      </c>
      <c r="I80" s="695">
        <f>I75/I56</f>
        <v>11.329495960989064</v>
      </c>
      <c r="J80" s="695">
        <f>J75/J56</f>
        <v>12.529872180667427</v>
      </c>
      <c r="K80" s="695">
        <f>K75/K56</f>
        <v>12.54713896410167</v>
      </c>
    </row>
    <row r="81" spans="1:11" ht="20.25" hidden="1" x14ac:dyDescent="0.2">
      <c r="A81" s="58"/>
      <c r="B81" s="58"/>
      <c r="C81" s="55"/>
      <c r="D81" s="58"/>
      <c r="E81" s="58"/>
      <c r="F81" s="54"/>
      <c r="G81" s="54"/>
      <c r="H81" s="54"/>
      <c r="I81" s="695"/>
      <c r="J81" s="695"/>
      <c r="K81" s="695"/>
    </row>
    <row r="82" spans="1:11" ht="20.25" hidden="1" x14ac:dyDescent="0.2">
      <c r="A82" s="58"/>
      <c r="B82" s="58"/>
      <c r="C82" s="55"/>
      <c r="D82" s="58"/>
      <c r="E82" s="58"/>
      <c r="F82" s="55"/>
      <c r="G82" s="55"/>
      <c r="H82" s="58"/>
      <c r="I82" s="58"/>
      <c r="J82" s="193"/>
      <c r="K82" s="193"/>
    </row>
    <row r="83" spans="1:11" ht="20.25" hidden="1" x14ac:dyDescent="0.2">
      <c r="A83" s="54"/>
      <c r="B83" s="54"/>
      <c r="C83" s="55"/>
      <c r="D83" s="58"/>
      <c r="E83" s="54"/>
      <c r="F83" s="54" t="s">
        <v>491</v>
      </c>
      <c r="G83" s="54"/>
      <c r="H83" s="196">
        <f>H23-H84-H85</f>
        <v>238182.86749999985</v>
      </c>
      <c r="I83" s="196">
        <f>I21-I84-I85</f>
        <v>180025.0165</v>
      </c>
      <c r="J83" s="196">
        <f>J21-J84-J85</f>
        <v>199028.67290000001</v>
      </c>
      <c r="K83" s="196">
        <f>K21-K84-K85</f>
        <v>162975.30599999998</v>
      </c>
    </row>
    <row r="84" spans="1:11" ht="23.25" hidden="1" x14ac:dyDescent="0.2">
      <c r="A84" s="54"/>
      <c r="B84" s="222"/>
      <c r="C84" s="54"/>
      <c r="D84" s="54"/>
      <c r="E84" s="54"/>
      <c r="F84" s="54" t="s">
        <v>492</v>
      </c>
      <c r="G84" s="54"/>
      <c r="H84" s="693">
        <f>H75</f>
        <v>103783.97250000012</v>
      </c>
      <c r="I84" s="693">
        <f>I75</f>
        <v>115005.71349999998</v>
      </c>
      <c r="J84" s="196">
        <f>J75</f>
        <v>130661.50709999993</v>
      </c>
      <c r="K84" s="196">
        <f>K75</f>
        <v>143652.19400000002</v>
      </c>
    </row>
    <row r="85" spans="1:11" ht="20.25" hidden="1" x14ac:dyDescent="0.2">
      <c r="A85" s="54"/>
      <c r="B85" s="54"/>
      <c r="C85" s="54"/>
      <c r="D85" s="54"/>
      <c r="E85" s="54"/>
      <c r="F85" s="54" t="s">
        <v>498</v>
      </c>
      <c r="G85" s="54"/>
      <c r="H85" s="693">
        <f>H17</f>
        <v>9315</v>
      </c>
      <c r="I85" s="693">
        <f>I17</f>
        <v>9315</v>
      </c>
      <c r="J85" s="196">
        <f>J36</f>
        <v>10548</v>
      </c>
      <c r="K85" s="196">
        <f>K36</f>
        <v>10548</v>
      </c>
    </row>
    <row r="86" spans="1:11" ht="27" hidden="1" thickBot="1" x14ac:dyDescent="0.25">
      <c r="A86" s="219"/>
      <c r="B86" s="219"/>
      <c r="C86" s="219"/>
      <c r="D86" s="219"/>
      <c r="E86" s="219"/>
      <c r="F86" s="54" t="s">
        <v>499</v>
      </c>
      <c r="G86" s="54"/>
      <c r="H86" s="604">
        <f>SUM(H83:H85)</f>
        <v>351281.83999999997</v>
      </c>
      <c r="I86" s="604">
        <f>SUM(I83:I85)</f>
        <v>304345.73</v>
      </c>
      <c r="J86" s="604">
        <f>SUM(J83:J85)</f>
        <v>340238.17999999993</v>
      </c>
      <c r="K86" s="604">
        <f>SUM(K83:K85)</f>
        <v>317175.5</v>
      </c>
    </row>
    <row r="87" spans="1:11" ht="27" hidden="1" thickTop="1" x14ac:dyDescent="0.2">
      <c r="A87" s="219"/>
      <c r="B87" s="219"/>
      <c r="C87" s="219"/>
      <c r="D87" s="219"/>
      <c r="E87" s="219"/>
      <c r="F87" s="54" t="s">
        <v>500</v>
      </c>
      <c r="G87" s="54"/>
      <c r="H87" s="196">
        <f>H66</f>
        <v>16457</v>
      </c>
      <c r="I87" s="196">
        <f>I66</f>
        <v>10151</v>
      </c>
      <c r="J87" s="196">
        <f>J56</f>
        <v>10428</v>
      </c>
      <c r="K87" s="196">
        <v>11740</v>
      </c>
    </row>
    <row r="88" spans="1:11" ht="20.25" hidden="1" x14ac:dyDescent="0.3">
      <c r="A88" s="45"/>
      <c r="B88" s="45"/>
      <c r="C88" s="45"/>
      <c r="D88" s="45"/>
      <c r="E88" s="45"/>
      <c r="F88" s="54" t="s">
        <v>501</v>
      </c>
      <c r="G88" s="54"/>
      <c r="H88" s="699">
        <f>H83/H79/H67</f>
        <v>16477.207130148494</v>
      </c>
      <c r="I88" s="699">
        <f>I83/I79/I67</f>
        <v>9715.1607410527849</v>
      </c>
      <c r="J88" s="699">
        <f>J83/J79/J67</f>
        <v>8937.9035395535666</v>
      </c>
      <c r="K88" s="699">
        <f>K83/K79/K67</f>
        <v>6325.9870313799975</v>
      </c>
    </row>
    <row r="89" spans="1:11" ht="20.25" hidden="1" x14ac:dyDescent="0.3">
      <c r="A89" s="45"/>
      <c r="B89" s="45"/>
      <c r="C89" s="45"/>
      <c r="D89" s="45"/>
      <c r="E89" s="45"/>
      <c r="F89" s="54" t="s">
        <v>502</v>
      </c>
      <c r="G89" s="54"/>
      <c r="H89" s="700">
        <f>H88-H87</f>
        <v>20.207130148493889</v>
      </c>
      <c r="I89" s="700">
        <f>I88-I87</f>
        <v>-435.83925894721506</v>
      </c>
      <c r="J89" s="700">
        <f>J88-J87</f>
        <v>-1490.0964604464334</v>
      </c>
      <c r="K89" s="700">
        <f>K88-K87</f>
        <v>-5414.0129686200025</v>
      </c>
    </row>
    <row r="90" spans="1:11" ht="20.25" hidden="1" x14ac:dyDescent="0.3">
      <c r="A90" s="45"/>
      <c r="B90" s="45"/>
      <c r="C90" s="45"/>
      <c r="D90" s="45"/>
      <c r="E90" s="45"/>
      <c r="F90" s="54" t="s">
        <v>496</v>
      </c>
      <c r="G90" s="54"/>
      <c r="H90" s="701">
        <f>H83/(H88*H67)</f>
        <v>1.2190899132921318</v>
      </c>
      <c r="I90" s="701">
        <f>I83/(I88*I67)</f>
        <v>1.8037922200592629</v>
      </c>
      <c r="J90" s="701">
        <f>J83/(J88*J67)</f>
        <v>2.0212390390390391</v>
      </c>
      <c r="K90" s="701">
        <f>K83/(K88*K67)</f>
        <v>2.201183582089552</v>
      </c>
    </row>
    <row r="91" spans="1:11" ht="20.25" hidden="1" x14ac:dyDescent="0.3">
      <c r="A91" s="45"/>
      <c r="B91" s="45"/>
      <c r="C91" s="45"/>
      <c r="D91" s="45"/>
      <c r="E91" s="45"/>
      <c r="F91" s="54" t="s">
        <v>497</v>
      </c>
      <c r="G91" s="54"/>
      <c r="H91" s="701">
        <f>H84/H88</f>
        <v>6.2986385787495296</v>
      </c>
      <c r="I91" s="701">
        <f>I84/I88</f>
        <v>11.837757147344673</v>
      </c>
      <c r="J91" s="701">
        <f>J84/J88</f>
        <v>14.618809267942297</v>
      </c>
      <c r="K91" s="701">
        <f>K84/K88</f>
        <v>22.708265648888418</v>
      </c>
    </row>
    <row r="92" spans="1:11" ht="20.25" hidden="1" x14ac:dyDescent="0.3">
      <c r="A92" s="45"/>
      <c r="B92" s="45"/>
      <c r="C92" s="45"/>
      <c r="D92" s="45"/>
      <c r="E92" s="45"/>
      <c r="F92" s="54"/>
      <c r="G92" s="54"/>
      <c r="H92" s="54"/>
      <c r="I92" s="701"/>
      <c r="J92" s="701"/>
      <c r="K92" s="701"/>
    </row>
    <row r="93" spans="1:11" ht="20.25" hidden="1" x14ac:dyDescent="0.3">
      <c r="A93" s="45"/>
      <c r="B93" s="45"/>
      <c r="C93" s="45"/>
      <c r="D93" s="45"/>
      <c r="E93" s="45"/>
      <c r="F93" s="45"/>
      <c r="G93" s="45"/>
      <c r="H93" s="45"/>
      <c r="I93" s="45"/>
      <c r="J93" s="227"/>
      <c r="K93" s="227"/>
    </row>
    <row r="94" spans="1:11" ht="20.25" hidden="1" x14ac:dyDescent="0.3">
      <c r="A94" s="45"/>
      <c r="B94" s="45"/>
      <c r="C94" s="45"/>
      <c r="D94" s="45"/>
      <c r="E94" s="45"/>
      <c r="F94" s="45"/>
      <c r="G94" s="45"/>
      <c r="H94" s="45"/>
      <c r="I94" s="45"/>
      <c r="J94" s="227"/>
      <c r="K94" s="227"/>
    </row>
    <row r="95" spans="1:11" ht="20.25" hidden="1" x14ac:dyDescent="0.3">
      <c r="A95" s="45"/>
      <c r="B95" s="45"/>
      <c r="C95" s="45"/>
      <c r="D95" s="45"/>
      <c r="E95" s="45"/>
      <c r="F95" s="689" t="s">
        <v>503</v>
      </c>
      <c r="G95" s="689"/>
      <c r="H95" s="45"/>
      <c r="I95" s="45"/>
      <c r="J95" s="227"/>
      <c r="K95" s="227"/>
    </row>
    <row r="96" spans="1:11" ht="20.25" hidden="1" x14ac:dyDescent="0.2">
      <c r="A96" s="45"/>
      <c r="B96" s="45"/>
      <c r="C96" s="45"/>
      <c r="D96" s="45"/>
      <c r="E96" s="45"/>
      <c r="F96" s="54" t="s">
        <v>491</v>
      </c>
      <c r="G96" s="54"/>
      <c r="H96" s="690">
        <f t="shared" ref="H96:J98" si="1">H74</f>
        <v>237890.76749999999</v>
      </c>
      <c r="I96" s="690">
        <f t="shared" si="1"/>
        <v>188101.25649999999</v>
      </c>
      <c r="J96" s="690">
        <f t="shared" si="1"/>
        <v>232210.04700000002</v>
      </c>
      <c r="K96" s="690">
        <f>K74</f>
        <v>294958.59999999998</v>
      </c>
    </row>
    <row r="97" spans="1:11" ht="20.25" hidden="1" x14ac:dyDescent="0.2">
      <c r="A97" s="45"/>
      <c r="B97" s="45"/>
      <c r="C97" s="45"/>
      <c r="D97" s="45"/>
      <c r="E97" s="45"/>
      <c r="F97" s="54" t="s">
        <v>492</v>
      </c>
      <c r="G97" s="54"/>
      <c r="H97" s="196">
        <f t="shared" si="1"/>
        <v>103783.97250000012</v>
      </c>
      <c r="I97" s="196">
        <f t="shared" si="1"/>
        <v>115005.71349999998</v>
      </c>
      <c r="J97" s="196">
        <f t="shared" si="1"/>
        <v>130661.50709999993</v>
      </c>
      <c r="K97" s="196">
        <f>K75</f>
        <v>143652.19400000002</v>
      </c>
    </row>
    <row r="98" spans="1:11" ht="20.25" hidden="1" x14ac:dyDescent="0.2">
      <c r="A98" s="45"/>
      <c r="B98" s="45"/>
      <c r="C98" s="45"/>
      <c r="D98" s="45"/>
      <c r="E98" s="45"/>
      <c r="F98" s="54" t="s">
        <v>493</v>
      </c>
      <c r="G98" s="54"/>
      <c r="H98" s="196">
        <f t="shared" si="1"/>
        <v>33344.68</v>
      </c>
      <c r="I98" s="196">
        <f t="shared" si="1"/>
        <v>41084</v>
      </c>
      <c r="J98" s="196">
        <f t="shared" si="1"/>
        <v>40932</v>
      </c>
      <c r="K98" s="196">
        <f>K76</f>
        <v>41681</v>
      </c>
    </row>
    <row r="99" spans="1:11" ht="21" hidden="1" thickBot="1" x14ac:dyDescent="0.25">
      <c r="A99" s="45"/>
      <c r="B99" s="45"/>
      <c r="C99" s="45"/>
      <c r="D99" s="45"/>
      <c r="E99" s="45"/>
      <c r="F99" s="54" t="s">
        <v>494</v>
      </c>
      <c r="G99" s="54"/>
      <c r="H99" s="692">
        <f>SUM(H96:H98)</f>
        <v>375019.4200000001</v>
      </c>
      <c r="I99" s="692">
        <f>SUM(I96:I98)</f>
        <v>344190.97</v>
      </c>
      <c r="J99" s="692">
        <f>SUM(J96:J98)</f>
        <v>403803.55409999995</v>
      </c>
      <c r="K99" s="692">
        <f>SUM(K96:K98)</f>
        <v>480291.79399999999</v>
      </c>
    </row>
    <row r="100" spans="1:11" ht="21" hidden="1" thickTop="1" x14ac:dyDescent="0.2">
      <c r="A100" s="45"/>
      <c r="B100" s="45"/>
      <c r="C100" s="45"/>
      <c r="D100" s="45"/>
      <c r="E100" s="45"/>
      <c r="F100" s="54" t="s">
        <v>504</v>
      </c>
      <c r="G100" s="54"/>
      <c r="H100" s="196">
        <f>H53</f>
        <v>227723</v>
      </c>
      <c r="I100" s="196">
        <f t="shared" ref="I100:K100" si="2">I53</f>
        <v>178666</v>
      </c>
      <c r="J100" s="196">
        <f t="shared" si="2"/>
        <v>206080</v>
      </c>
      <c r="K100" s="196">
        <f t="shared" si="2"/>
        <v>227490</v>
      </c>
    </row>
    <row r="101" spans="1:11" ht="20.25" hidden="1" x14ac:dyDescent="0.2">
      <c r="A101" s="45"/>
      <c r="B101" s="45"/>
      <c r="C101" s="45"/>
      <c r="D101" s="45"/>
      <c r="E101" s="45"/>
      <c r="F101" s="54" t="s">
        <v>505</v>
      </c>
      <c r="G101" s="54"/>
      <c r="H101" s="695">
        <f>H96/H100</f>
        <v>1.0446497169807178</v>
      </c>
      <c r="I101" s="695">
        <f>I96/I100</f>
        <v>1.0528094685054794</v>
      </c>
      <c r="J101" s="695">
        <f>J96/J100</f>
        <v>1.1267956473214287</v>
      </c>
      <c r="K101" s="695">
        <f>K96/K100</f>
        <v>1.2965783111345552</v>
      </c>
    </row>
    <row r="102" spans="1:11" ht="20.25" hidden="1" x14ac:dyDescent="0.2">
      <c r="A102" s="45"/>
      <c r="B102" s="45"/>
      <c r="C102" s="45"/>
      <c r="D102" s="45"/>
      <c r="E102" s="45"/>
      <c r="F102" s="54" t="s">
        <v>497</v>
      </c>
      <c r="G102" s="54"/>
      <c r="H102" s="695">
        <f t="shared" ref="H102:K102" si="3">H97/H56</f>
        <v>6.3063725162544886</v>
      </c>
      <c r="I102" s="695">
        <f t="shared" si="3"/>
        <v>11.329495960989064</v>
      </c>
      <c r="J102" s="695">
        <f t="shared" si="3"/>
        <v>12.529872180667427</v>
      </c>
      <c r="K102" s="695">
        <f t="shared" si="3"/>
        <v>12.54713896410167</v>
      </c>
    </row>
    <row r="103" spans="1:11" ht="20.25" hidden="1" x14ac:dyDescent="0.3">
      <c r="A103" s="45"/>
      <c r="B103" s="45"/>
      <c r="C103" s="45"/>
      <c r="D103" s="45"/>
      <c r="E103" s="45"/>
      <c r="F103" s="45"/>
      <c r="G103" s="45"/>
      <c r="H103" s="227"/>
      <c r="I103" s="227"/>
      <c r="J103" s="227"/>
      <c r="K103" s="227"/>
    </row>
    <row r="104" spans="1:11" ht="20.25" hidden="1" x14ac:dyDescent="0.2">
      <c r="A104" s="45"/>
      <c r="B104" s="45"/>
      <c r="C104" s="45"/>
      <c r="D104" s="45"/>
      <c r="E104" s="45"/>
      <c r="F104" s="45"/>
      <c r="G104" s="45"/>
      <c r="H104" s="193"/>
      <c r="I104" s="193"/>
      <c r="J104" s="193"/>
      <c r="K104" s="193"/>
    </row>
    <row r="105" spans="1:11" ht="20.25" hidden="1" x14ac:dyDescent="0.2">
      <c r="A105" s="45"/>
      <c r="B105" s="45"/>
      <c r="C105" s="45"/>
      <c r="D105" s="45"/>
      <c r="E105" s="45"/>
      <c r="F105" s="54" t="s">
        <v>491</v>
      </c>
      <c r="G105" s="54"/>
      <c r="H105" s="196">
        <f>H23-H106-H107</f>
        <v>238182.86749999985</v>
      </c>
      <c r="I105" s="196">
        <f>I21-I106-I107</f>
        <v>180025.0165</v>
      </c>
      <c r="J105" s="196">
        <f>J21-J106-J107</f>
        <v>199028.67290000001</v>
      </c>
      <c r="K105" s="196">
        <f>K21-K106-K107</f>
        <v>162975.30599999998</v>
      </c>
    </row>
    <row r="106" spans="1:11" ht="20.25" hidden="1" x14ac:dyDescent="0.2">
      <c r="A106" s="45"/>
      <c r="B106" s="45"/>
      <c r="C106" s="45"/>
      <c r="D106" s="45"/>
      <c r="E106" s="45"/>
      <c r="F106" s="54" t="s">
        <v>492</v>
      </c>
      <c r="G106" s="54"/>
      <c r="H106" s="196">
        <f t="shared" ref="H106:I106" si="4">H97</f>
        <v>103783.97250000012</v>
      </c>
      <c r="I106" s="196">
        <f t="shared" si="4"/>
        <v>115005.71349999998</v>
      </c>
      <c r="J106" s="196">
        <f>J97</f>
        <v>130661.50709999993</v>
      </c>
      <c r="K106" s="196">
        <f t="shared" ref="K106" si="5">K97</f>
        <v>143652.19400000002</v>
      </c>
    </row>
    <row r="107" spans="1:11" ht="20.25" hidden="1" x14ac:dyDescent="0.2">
      <c r="A107" s="45"/>
      <c r="B107" s="45"/>
      <c r="C107" s="45"/>
      <c r="D107" s="45"/>
      <c r="E107" s="45"/>
      <c r="F107" s="54" t="s">
        <v>103</v>
      </c>
      <c r="G107" s="54"/>
      <c r="H107" s="196">
        <f>H36</f>
        <v>9315</v>
      </c>
      <c r="I107" s="196">
        <f>I36</f>
        <v>9315</v>
      </c>
      <c r="J107" s="196">
        <f>J36</f>
        <v>10548</v>
      </c>
      <c r="K107" s="196">
        <f>K36</f>
        <v>10548</v>
      </c>
    </row>
    <row r="108" spans="1:11" ht="21" hidden="1" thickBot="1" x14ac:dyDescent="0.25">
      <c r="A108" s="45"/>
      <c r="B108" s="45"/>
      <c r="C108" s="45"/>
      <c r="D108" s="45"/>
      <c r="E108" s="45"/>
      <c r="F108" s="54" t="s">
        <v>499</v>
      </c>
      <c r="G108" s="54"/>
      <c r="H108" s="604">
        <f>SUM(H105:H107)</f>
        <v>351281.83999999997</v>
      </c>
      <c r="I108" s="604">
        <f>SUM(I105:I107)</f>
        <v>304345.73</v>
      </c>
      <c r="J108" s="604">
        <f>SUM(J105:J107)</f>
        <v>340238.17999999993</v>
      </c>
      <c r="K108" s="604">
        <f>SUM(K105:K107)</f>
        <v>317175.5</v>
      </c>
    </row>
    <row r="109" spans="1:11" ht="21" hidden="1" thickTop="1" x14ac:dyDescent="0.2">
      <c r="A109" s="45"/>
      <c r="B109" s="45"/>
      <c r="C109" s="45"/>
      <c r="D109" s="45"/>
      <c r="E109" s="45"/>
      <c r="F109" s="54" t="s">
        <v>500</v>
      </c>
      <c r="G109" s="54"/>
      <c r="H109" s="196">
        <f>H87</f>
        <v>16457</v>
      </c>
      <c r="I109" s="196">
        <f>I87</f>
        <v>10151</v>
      </c>
      <c r="J109" s="196">
        <f>J87</f>
        <v>10428</v>
      </c>
      <c r="K109" s="196">
        <f>K87</f>
        <v>11740</v>
      </c>
    </row>
    <row r="110" spans="1:11" ht="20.25" hidden="1" x14ac:dyDescent="0.3">
      <c r="A110" s="45"/>
      <c r="B110" s="45"/>
      <c r="C110" s="45"/>
      <c r="D110" s="45"/>
      <c r="E110" s="45"/>
      <c r="F110" s="54" t="s">
        <v>501</v>
      </c>
      <c r="G110" s="54"/>
      <c r="H110" s="699">
        <f t="shared" ref="H110:K110" si="6">H105/H101/H71</f>
        <v>16477.207130148494</v>
      </c>
      <c r="I110" s="699">
        <f t="shared" si="6"/>
        <v>9715.1607410527868</v>
      </c>
      <c r="J110" s="699">
        <f t="shared" si="6"/>
        <v>8937.9035395535648</v>
      </c>
      <c r="K110" s="699">
        <f t="shared" si="6"/>
        <v>6325.9870313799966</v>
      </c>
    </row>
    <row r="111" spans="1:11" ht="20.25" hidden="1" x14ac:dyDescent="0.3">
      <c r="A111" s="45"/>
      <c r="B111" s="45"/>
      <c r="C111" s="45"/>
      <c r="D111" s="45"/>
      <c r="E111" s="45"/>
      <c r="F111" s="54" t="s">
        <v>502</v>
      </c>
      <c r="G111" s="54"/>
      <c r="H111" s="700">
        <f>H110-H109</f>
        <v>20.207130148493889</v>
      </c>
      <c r="I111" s="700">
        <f>I110-I109</f>
        <v>-435.83925894721324</v>
      </c>
      <c r="J111" s="700">
        <f>J110-J109</f>
        <v>-1490.0964604464352</v>
      </c>
      <c r="K111" s="700">
        <f>K110-K109</f>
        <v>-5414.0129686200034</v>
      </c>
    </row>
    <row r="112" spans="1:11" ht="20.25" hidden="1" x14ac:dyDescent="0.3">
      <c r="A112" s="45"/>
      <c r="B112" s="45"/>
      <c r="C112" s="45"/>
      <c r="D112" s="45"/>
      <c r="E112" s="45"/>
      <c r="F112" s="54" t="s">
        <v>505</v>
      </c>
      <c r="G112" s="54"/>
      <c r="H112" s="701">
        <f>H105/(H110*H71)</f>
        <v>1.0446497169807178</v>
      </c>
      <c r="I112" s="701">
        <f t="shared" ref="I112:K112" si="7">I105/(I110*I71)</f>
        <v>1.0528094685054794</v>
      </c>
      <c r="J112" s="701">
        <f t="shared" si="7"/>
        <v>1.1267956473214289</v>
      </c>
      <c r="K112" s="701">
        <f t="shared" si="7"/>
        <v>1.2965783111345552</v>
      </c>
    </row>
    <row r="113" spans="1:11" ht="20.25" hidden="1" x14ac:dyDescent="0.3">
      <c r="A113" s="45"/>
      <c r="B113" s="45"/>
      <c r="C113" s="45"/>
      <c r="D113" s="45"/>
      <c r="E113" s="45"/>
      <c r="F113" s="54" t="s">
        <v>506</v>
      </c>
      <c r="G113" s="54"/>
      <c r="H113" s="701">
        <f>H106/H110</f>
        <v>6.2986385787495296</v>
      </c>
      <c r="I113" s="701">
        <f>I106/I110</f>
        <v>11.837757147344671</v>
      </c>
      <c r="J113" s="701">
        <f>J106/J110</f>
        <v>14.618809267942298</v>
      </c>
      <c r="K113" s="701">
        <f>K106/K110</f>
        <v>22.708265648888421</v>
      </c>
    </row>
    <row r="114" spans="1:11" ht="20.25" hidden="1" x14ac:dyDescent="0.2">
      <c r="A114" s="45"/>
      <c r="B114" s="45"/>
      <c r="C114" s="45"/>
      <c r="D114" s="45"/>
      <c r="E114" s="45"/>
      <c r="F114" s="54" t="s">
        <v>507</v>
      </c>
      <c r="G114" s="193">
        <f>G27+G31+G33+G27*0.21</f>
        <v>216908.68</v>
      </c>
      <c r="H114" s="193">
        <f t="shared" ref="H114:K114" si="8">H27+H31+H33+H27*0.21</f>
        <v>237890.76750000002</v>
      </c>
      <c r="I114" s="193">
        <f t="shared" si="8"/>
        <v>188101.25650000002</v>
      </c>
      <c r="J114" s="193">
        <f t="shared" si="8"/>
        <v>232210.04700000002</v>
      </c>
      <c r="K114" s="193">
        <f t="shared" si="8"/>
        <v>297009.18</v>
      </c>
    </row>
    <row r="115" spans="1:11" ht="20.25" hidden="1" x14ac:dyDescent="0.2">
      <c r="A115" s="45"/>
      <c r="B115" s="45"/>
      <c r="C115" s="45"/>
      <c r="D115" s="45"/>
      <c r="E115" s="45"/>
      <c r="F115" s="54" t="s">
        <v>492</v>
      </c>
      <c r="G115" s="193">
        <f>G46-G114-G116</f>
        <v>105684.32</v>
      </c>
      <c r="H115" s="193">
        <f t="shared" ref="H115:K115" si="9">H46-H114-H116</f>
        <v>113098.97250000009</v>
      </c>
      <c r="I115" s="193">
        <f t="shared" si="9"/>
        <v>124320.71349999995</v>
      </c>
      <c r="J115" s="193">
        <f t="shared" si="9"/>
        <v>141209.50709999993</v>
      </c>
      <c r="K115" s="193">
        <f t="shared" si="9"/>
        <v>152149.614</v>
      </c>
    </row>
    <row r="116" spans="1:11" ht="20.25" hidden="1" x14ac:dyDescent="0.2">
      <c r="A116" s="45"/>
      <c r="B116" s="45"/>
      <c r="C116" s="45"/>
      <c r="D116" s="45"/>
      <c r="E116" s="45"/>
      <c r="F116" s="54" t="s">
        <v>124</v>
      </c>
      <c r="G116" s="193">
        <f>G35</f>
        <v>25080</v>
      </c>
      <c r="H116" s="193">
        <f t="shared" ref="H116:K116" si="10">H35</f>
        <v>24029.68</v>
      </c>
      <c r="I116" s="193">
        <f t="shared" si="10"/>
        <v>31769</v>
      </c>
      <c r="J116" s="193">
        <f t="shared" si="10"/>
        <v>30384</v>
      </c>
      <c r="K116" s="193">
        <f t="shared" si="10"/>
        <v>31133</v>
      </c>
    </row>
    <row r="117" spans="1:11" hidden="1" x14ac:dyDescent="0.2"/>
  </sheetData>
  <mergeCells count="8">
    <mergeCell ref="D34:F34"/>
    <mergeCell ref="D51:F51"/>
    <mergeCell ref="D27:F27"/>
    <mergeCell ref="D28:F28"/>
    <mergeCell ref="D29:F29"/>
    <mergeCell ref="D31:F31"/>
    <mergeCell ref="D32:F32"/>
    <mergeCell ref="D33:F3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I81"/>
  <sheetViews>
    <sheetView zoomScale="75" zoomScaleNormal="75" workbookViewId="0">
      <selection activeCell="S47" sqref="S47"/>
    </sheetView>
  </sheetViews>
  <sheetFormatPr defaultRowHeight="20.25" x14ac:dyDescent="0.3"/>
  <cols>
    <col min="1" max="1" width="2.875" style="45" customWidth="1"/>
    <col min="2" max="2" width="8.125" style="45" customWidth="1"/>
    <col min="3" max="3" width="8.75" style="45" customWidth="1"/>
    <col min="4" max="4" width="5.75" style="45" customWidth="1"/>
    <col min="5" max="5" width="2.875" style="45" customWidth="1"/>
    <col min="6" max="6" width="45.625" style="45" customWidth="1"/>
    <col min="7" max="7" width="22.25" style="190" hidden="1" customWidth="1"/>
    <col min="8" max="8" width="23.125" hidden="1" customWidth="1"/>
    <col min="9" max="9" width="1.625" hidden="1" customWidth="1"/>
    <col min="10" max="10" width="26.875" customWidth="1"/>
    <col min="11" max="11" width="24.5" customWidth="1"/>
    <col min="12" max="12" width="1.625" customWidth="1"/>
    <col min="13" max="13" width="23.125" customWidth="1"/>
    <col min="14" max="14" width="1.75" customWidth="1"/>
    <col min="15" max="15" width="15.25" bestFit="1" customWidth="1"/>
    <col min="16" max="16" width="10.625" customWidth="1"/>
    <col min="18" max="18" width="16.875" style="583" bestFit="1" customWidth="1"/>
    <col min="19" max="19" width="10" bestFit="1" customWidth="1"/>
    <col min="21" max="21" width="11.5" bestFit="1" customWidth="1"/>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61" ht="22.5" customHeight="1" x14ac:dyDescent="0.4">
      <c r="A1" s="46" t="s">
        <v>93</v>
      </c>
      <c r="B1" s="47"/>
      <c r="C1" s="48"/>
      <c r="D1" s="48"/>
      <c r="E1" s="48"/>
      <c r="F1" s="47"/>
      <c r="G1" s="191"/>
      <c r="H1" s="47"/>
      <c r="I1" s="47"/>
      <c r="J1" s="47"/>
      <c r="K1" s="47"/>
      <c r="L1" s="47"/>
      <c r="M1" s="47"/>
      <c r="N1" s="47"/>
      <c r="O1" s="47"/>
      <c r="P1" s="47"/>
      <c r="Q1" s="47"/>
      <c r="S1" s="47"/>
      <c r="T1" s="47"/>
      <c r="U1" s="47"/>
      <c r="V1" s="47"/>
      <c r="W1" s="47"/>
      <c r="X1" s="47"/>
      <c r="Y1" s="47"/>
      <c r="Z1" s="47"/>
      <c r="AA1" s="47"/>
      <c r="AB1" s="47"/>
      <c r="AC1" s="47"/>
      <c r="AD1" s="47"/>
      <c r="AE1" s="47"/>
      <c r="AF1" s="47"/>
      <c r="AG1" s="47"/>
      <c r="AH1" s="47"/>
      <c r="AI1" s="47"/>
      <c r="AJ1" s="47"/>
      <c r="AK1" s="47"/>
      <c r="AL1" s="47"/>
      <c r="AM1" s="47"/>
    </row>
    <row r="2" spans="1:61" ht="22.5" customHeight="1" x14ac:dyDescent="0.4">
      <c r="A2" s="46" t="s">
        <v>212</v>
      </c>
      <c r="B2" s="47"/>
      <c r="C2" s="48"/>
      <c r="D2" s="48"/>
      <c r="E2" s="48"/>
      <c r="F2" s="47"/>
      <c r="G2" s="191"/>
      <c r="H2" s="47"/>
      <c r="I2" s="47"/>
      <c r="J2" s="47"/>
      <c r="K2" s="47"/>
      <c r="L2" s="47"/>
      <c r="M2" s="47"/>
      <c r="N2" s="47"/>
      <c r="O2" s="47"/>
      <c r="P2" s="47"/>
      <c r="Q2" s="47"/>
      <c r="S2" s="47"/>
      <c r="T2" s="47"/>
      <c r="U2" s="47"/>
      <c r="V2" s="47"/>
      <c r="W2" s="47"/>
      <c r="X2" s="47"/>
      <c r="Y2" s="47"/>
      <c r="Z2" s="47"/>
      <c r="AA2" s="47"/>
      <c r="AB2" s="47"/>
      <c r="AC2" s="47"/>
      <c r="AD2" s="47"/>
      <c r="AE2" s="47"/>
      <c r="AF2" s="47"/>
      <c r="AG2" s="47"/>
      <c r="AH2" s="47"/>
      <c r="AI2" s="47"/>
      <c r="AJ2" s="47"/>
      <c r="AK2" s="47"/>
      <c r="AL2" s="47"/>
      <c r="AM2" s="47"/>
    </row>
    <row r="3" spans="1:61" ht="21.75" customHeight="1" x14ac:dyDescent="0.4">
      <c r="A3" s="46" t="str">
        <f>'April''24 State of Activities'!A3</f>
        <v>Four Months Ended April 30, 2024 and 2023</v>
      </c>
      <c r="B3" s="47"/>
      <c r="C3" s="48"/>
      <c r="D3" s="48"/>
      <c r="E3" s="48"/>
      <c r="F3" s="47"/>
      <c r="G3" s="191"/>
      <c r="H3" s="47"/>
      <c r="I3" s="47"/>
      <c r="J3" s="47"/>
      <c r="K3" s="47"/>
      <c r="L3" s="47"/>
      <c r="M3" s="47"/>
      <c r="N3" s="47"/>
      <c r="O3" s="47"/>
      <c r="P3" s="47"/>
      <c r="Q3" s="47"/>
      <c r="S3" s="47"/>
      <c r="T3" s="47"/>
      <c r="U3" s="47"/>
      <c r="V3" s="47"/>
      <c r="W3" s="47"/>
      <c r="X3" s="47"/>
      <c r="Y3" s="47"/>
      <c r="Z3" s="47"/>
      <c r="AA3" s="47"/>
      <c r="AB3" s="47"/>
      <c r="AC3" s="47"/>
      <c r="AD3" s="47"/>
      <c r="AE3" s="47"/>
      <c r="AF3" s="47"/>
      <c r="AG3" s="47"/>
      <c r="AH3" s="47"/>
      <c r="AI3" s="47"/>
      <c r="AJ3" s="47"/>
      <c r="AK3" s="47"/>
      <c r="AL3" s="47"/>
      <c r="AM3" s="47"/>
    </row>
    <row r="4" spans="1:61" ht="22.5" customHeight="1" x14ac:dyDescent="0.4">
      <c r="A4" s="46" t="str">
        <f>'April''24 State of Activities'!A4</f>
        <v xml:space="preserve">For the Years Ended December 31, 2023 </v>
      </c>
      <c r="B4" s="47"/>
      <c r="C4" s="48"/>
      <c r="D4" s="48"/>
      <c r="E4" s="48"/>
      <c r="F4" s="47"/>
      <c r="G4" s="191"/>
      <c r="H4" s="47"/>
      <c r="I4" s="47"/>
      <c r="J4" s="47"/>
      <c r="K4" s="47"/>
      <c r="L4" s="47"/>
      <c r="M4" s="47"/>
      <c r="N4" s="47"/>
      <c r="O4" s="47"/>
      <c r="P4" s="47"/>
      <c r="Q4" s="47"/>
      <c r="S4" s="47"/>
      <c r="T4" s="47"/>
      <c r="U4" s="47"/>
      <c r="V4" s="47"/>
      <c r="W4" s="47"/>
      <c r="X4" s="47"/>
      <c r="Y4" s="47"/>
      <c r="Z4" s="47"/>
      <c r="AA4" s="47"/>
      <c r="AB4" s="47"/>
      <c r="AC4" s="47"/>
      <c r="AD4" s="47"/>
      <c r="AE4" s="47"/>
      <c r="AF4" s="47"/>
      <c r="AG4" s="47"/>
      <c r="AH4" s="47"/>
      <c r="AI4" s="47"/>
      <c r="AJ4" s="47"/>
      <c r="AK4" s="47"/>
      <c r="AL4" s="47"/>
      <c r="AM4" s="47"/>
    </row>
    <row r="5" spans="1:61" s="50" customFormat="1" ht="8.25" customHeight="1" thickBot="1" x14ac:dyDescent="0.25">
      <c r="A5" s="49"/>
      <c r="B5" s="49"/>
      <c r="C5" s="49"/>
      <c r="D5" s="49"/>
      <c r="E5" s="49"/>
      <c r="F5" s="49"/>
      <c r="G5" s="192"/>
      <c r="R5" s="584"/>
    </row>
    <row r="6" spans="1:61" s="53" customFormat="1" ht="24.75" customHeight="1" thickTop="1" thickBot="1" x14ac:dyDescent="0.25">
      <c r="A6" s="51" t="s">
        <v>107</v>
      </c>
      <c r="B6" s="51"/>
      <c r="C6" s="51"/>
      <c r="D6" s="51"/>
      <c r="E6" s="51"/>
      <c r="F6" s="51"/>
      <c r="G6" s="327"/>
      <c r="H6" s="199" t="s">
        <v>49</v>
      </c>
      <c r="I6" s="199"/>
      <c r="J6" s="787" t="s">
        <v>49</v>
      </c>
      <c r="K6" s="787"/>
      <c r="L6" s="787"/>
      <c r="M6" s="787"/>
      <c r="N6" s="52"/>
      <c r="O6" s="336" t="s">
        <v>180</v>
      </c>
      <c r="P6" s="333" t="s">
        <v>192</v>
      </c>
      <c r="Q6" s="52"/>
      <c r="R6" s="585"/>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row>
    <row r="7" spans="1:61" s="55" customFormat="1" ht="8.25" customHeight="1" thickTop="1" x14ac:dyDescent="0.2">
      <c r="A7" s="54"/>
      <c r="B7" s="54"/>
      <c r="C7" s="54"/>
      <c r="D7" s="54"/>
      <c r="E7" s="54"/>
      <c r="F7" s="54"/>
      <c r="G7" s="193"/>
      <c r="R7" s="585"/>
    </row>
    <row r="8" spans="1:61" ht="21" thickBot="1" x14ac:dyDescent="0.35">
      <c r="A8" s="56"/>
      <c r="B8" s="120" t="s">
        <v>99</v>
      </c>
      <c r="C8" s="120"/>
      <c r="D8" s="120"/>
      <c r="E8" s="120"/>
      <c r="F8" s="120"/>
      <c r="G8" s="231">
        <v>41090</v>
      </c>
      <c r="H8" s="231">
        <v>41274</v>
      </c>
      <c r="I8" s="271"/>
      <c r="J8" s="231">
        <f>'April''24 State of Activities'!G8</f>
        <v>45412</v>
      </c>
      <c r="K8" s="542">
        <f>'April''24 State of Activities'!H8</f>
        <v>45291</v>
      </c>
      <c r="L8" s="271"/>
      <c r="M8" s="542">
        <f>'April''24 State of Activities'!J8</f>
        <v>45046</v>
      </c>
      <c r="O8" s="852" t="s">
        <v>388</v>
      </c>
      <c r="P8" s="852"/>
    </row>
    <row r="9" spans="1:61" s="55" customFormat="1" x14ac:dyDescent="0.2">
      <c r="A9" s="54"/>
      <c r="B9" s="54"/>
      <c r="C9" s="58" t="s">
        <v>149</v>
      </c>
      <c r="D9" s="58"/>
      <c r="E9" s="58"/>
      <c r="F9" s="54"/>
      <c r="G9" s="193">
        <v>127719</v>
      </c>
      <c r="H9" s="193">
        <v>67566.5</v>
      </c>
      <c r="I9" s="193"/>
      <c r="J9" s="202">
        <v>41504.339999999997</v>
      </c>
      <c r="K9" s="202">
        <v>158721</v>
      </c>
      <c r="L9" s="202"/>
      <c r="M9" s="202">
        <v>78675.460000000006</v>
      </c>
      <c r="O9" s="317">
        <f>J9-M9</f>
        <v>-37171.12000000001</v>
      </c>
      <c r="P9" s="334">
        <f>O9/M9</f>
        <v>-0.47246142571012623</v>
      </c>
      <c r="R9" s="585"/>
    </row>
    <row r="10" spans="1:61" s="55" customFormat="1" x14ac:dyDescent="0.2">
      <c r="A10" s="54"/>
      <c r="B10" s="54"/>
      <c r="C10" s="58" t="s">
        <v>213</v>
      </c>
      <c r="D10" s="58"/>
      <c r="E10" s="58"/>
      <c r="F10" s="54"/>
      <c r="G10" s="202">
        <v>875436</v>
      </c>
      <c r="H10" s="202">
        <v>372424.1</v>
      </c>
      <c r="I10" s="202"/>
      <c r="J10" s="193"/>
      <c r="K10" s="193">
        <v>12278.42</v>
      </c>
      <c r="L10" s="202"/>
      <c r="M10" s="193"/>
      <c r="O10" s="409">
        <f>J10-M10</f>
        <v>0</v>
      </c>
      <c r="P10" s="354" t="e">
        <f>O10/M10</f>
        <v>#DIV/0!</v>
      </c>
      <c r="R10" s="585"/>
    </row>
    <row r="11" spans="1:61" s="55" customFormat="1" x14ac:dyDescent="0.2">
      <c r="A11" s="54"/>
      <c r="B11" s="54"/>
      <c r="C11" s="58" t="s">
        <v>387</v>
      </c>
      <c r="D11" s="58"/>
      <c r="E11" s="58"/>
      <c r="F11" s="54"/>
      <c r="G11" s="202"/>
      <c r="H11" s="202"/>
      <c r="I11" s="202"/>
      <c r="J11" s="193">
        <f>'April''24 Revenues &amp; Expenses'!I8-K11-5010</f>
        <v>-15626</v>
      </c>
      <c r="K11" s="193">
        <v>10616</v>
      </c>
      <c r="L11" s="202"/>
      <c r="M11" s="193"/>
      <c r="O11" s="409">
        <f>J11-M11</f>
        <v>-15626</v>
      </c>
      <c r="P11" s="354"/>
      <c r="R11" s="585"/>
    </row>
    <row r="12" spans="1:61" s="55" customFormat="1" x14ac:dyDescent="0.2">
      <c r="A12" s="54"/>
      <c r="B12" s="54"/>
      <c r="C12" s="58" t="s">
        <v>101</v>
      </c>
      <c r="D12" s="58"/>
      <c r="E12" s="58"/>
      <c r="F12" s="54"/>
      <c r="G12" s="193"/>
      <c r="H12" s="193"/>
      <c r="I12" s="193"/>
      <c r="J12" s="193"/>
      <c r="K12" s="193"/>
      <c r="L12" s="193"/>
      <c r="M12" s="193"/>
      <c r="O12" s="409"/>
      <c r="P12" s="344"/>
      <c r="R12" s="585"/>
    </row>
    <row r="13" spans="1:61" s="55" customFormat="1" x14ac:dyDescent="0.2">
      <c r="A13" s="54"/>
      <c r="B13" s="54"/>
      <c r="D13" s="58" t="s">
        <v>214</v>
      </c>
      <c r="E13" s="58"/>
      <c r="F13" s="54"/>
      <c r="G13" s="193">
        <v>94235.25</v>
      </c>
      <c r="H13" s="193">
        <v>37190.379999999997</v>
      </c>
      <c r="I13" s="193"/>
      <c r="J13" s="193">
        <f>3750*6</f>
        <v>22500</v>
      </c>
      <c r="K13" s="193">
        <f>3708.33*12</f>
        <v>44499.96</v>
      </c>
      <c r="L13" s="193"/>
      <c r="M13" s="193">
        <f>3708.33*4</f>
        <v>14833.32</v>
      </c>
      <c r="O13" s="409">
        <f t="shared" ref="O13:O18" si="0">J13-M13</f>
        <v>7666.68</v>
      </c>
      <c r="P13" s="354">
        <f>O13/M13</f>
        <v>0.51685529604970437</v>
      </c>
      <c r="R13" s="193"/>
      <c r="S13" s="386"/>
      <c r="T13" s="385"/>
      <c r="U13" s="385"/>
    </row>
    <row r="14" spans="1:61" s="55" customFormat="1" x14ac:dyDescent="0.2">
      <c r="A14" s="54"/>
      <c r="B14" s="54"/>
      <c r="D14" s="58" t="s">
        <v>158</v>
      </c>
      <c r="E14" s="58"/>
      <c r="F14" s="54"/>
      <c r="G14" s="193"/>
      <c r="H14" s="193"/>
      <c r="I14" s="193"/>
      <c r="J14" s="193">
        <f>'April''24 State of Activities'!G16</f>
        <v>6000</v>
      </c>
      <c r="K14" s="193">
        <v>13000</v>
      </c>
      <c r="L14" s="193"/>
      <c r="M14" s="193">
        <v>4333.33</v>
      </c>
      <c r="O14" s="409">
        <f t="shared" si="0"/>
        <v>1666.67</v>
      </c>
      <c r="P14" s="354">
        <f>O14/M14</f>
        <v>0.38461644970496134</v>
      </c>
      <c r="R14" s="585">
        <v>7500</v>
      </c>
      <c r="S14" s="318"/>
      <c r="T14" s="387"/>
      <c r="U14" s="304"/>
    </row>
    <row r="15" spans="1:61" s="55" customFormat="1" x14ac:dyDescent="0.2">
      <c r="A15" s="54"/>
      <c r="B15" s="54"/>
      <c r="C15" s="58" t="s">
        <v>102</v>
      </c>
      <c r="D15" s="58"/>
      <c r="E15" s="58"/>
      <c r="F15" s="54"/>
      <c r="G15" s="193">
        <v>0</v>
      </c>
      <c r="H15" s="193">
        <v>3517</v>
      </c>
      <c r="I15" s="193"/>
      <c r="J15" s="193">
        <f>'April''24 State of Activities'!G18</f>
        <v>5893.7</v>
      </c>
      <c r="K15" s="193">
        <f>'April''24 State of Activities'!H18</f>
        <v>23822.38</v>
      </c>
      <c r="L15" s="193"/>
      <c r="M15" s="193">
        <f>'April''24 State of Activities'!J18</f>
        <v>9210.07</v>
      </c>
      <c r="O15" s="409">
        <f t="shared" si="0"/>
        <v>-3316.37</v>
      </c>
      <c r="P15" s="354">
        <f>O15/M15</f>
        <v>-0.36008086800643208</v>
      </c>
      <c r="R15" s="585"/>
      <c r="S15" s="318"/>
      <c r="T15" s="387"/>
      <c r="U15" s="304"/>
    </row>
    <row r="16" spans="1:61" s="55" customFormat="1" x14ac:dyDescent="0.2">
      <c r="A16" s="54"/>
      <c r="B16" s="54"/>
      <c r="C16" s="58" t="s">
        <v>215</v>
      </c>
      <c r="D16" s="58"/>
      <c r="E16" s="58"/>
      <c r="F16" s="54"/>
      <c r="G16" s="193">
        <v>31459</v>
      </c>
      <c r="H16" s="193">
        <v>13920.35</v>
      </c>
      <c r="I16" s="193"/>
      <c r="J16" s="193">
        <f>'April''24 Revenues &amp; Expenses'!H44</f>
        <v>0</v>
      </c>
      <c r="K16" s="193">
        <v>25000</v>
      </c>
      <c r="L16" s="193"/>
      <c r="M16" s="193">
        <v>8153.81</v>
      </c>
      <c r="O16" s="409">
        <f t="shared" si="0"/>
        <v>-8153.81</v>
      </c>
      <c r="P16" s="354">
        <f>O16/M16</f>
        <v>-1</v>
      </c>
      <c r="R16" s="585">
        <v>11805.12</v>
      </c>
      <c r="S16" s="318"/>
      <c r="T16" s="387"/>
      <c r="U16" s="304"/>
    </row>
    <row r="17" spans="1:21" s="55" customFormat="1" x14ac:dyDescent="0.2">
      <c r="A17" s="54"/>
      <c r="B17" s="54"/>
      <c r="C17" s="58" t="s">
        <v>377</v>
      </c>
      <c r="D17" s="58"/>
      <c r="E17" s="58"/>
      <c r="F17" s="54"/>
      <c r="G17" s="193"/>
      <c r="H17" s="193"/>
      <c r="I17" s="193"/>
      <c r="J17" s="193"/>
      <c r="K17" s="193">
        <v>22918.98</v>
      </c>
      <c r="L17" s="193"/>
      <c r="M17" s="193"/>
      <c r="O17" s="409">
        <f t="shared" si="0"/>
        <v>0</v>
      </c>
      <c r="P17" s="354"/>
      <c r="R17" s="585"/>
      <c r="S17" s="318"/>
      <c r="T17" s="387"/>
      <c r="U17" s="304"/>
    </row>
    <row r="18" spans="1:21" s="55" customFormat="1" x14ac:dyDescent="0.2">
      <c r="A18" s="54"/>
      <c r="B18" s="54"/>
      <c r="C18" s="58" t="s">
        <v>389</v>
      </c>
      <c r="D18" s="58"/>
      <c r="E18" s="58"/>
      <c r="F18" s="54"/>
      <c r="G18" s="193"/>
      <c r="H18" s="193"/>
      <c r="I18" s="193"/>
      <c r="J18" s="193">
        <f>'April''24 Revenues &amp; Expenses'!H60</f>
        <v>45364.49</v>
      </c>
      <c r="K18" s="193">
        <v>23967.15</v>
      </c>
      <c r="L18" s="193"/>
      <c r="M18" s="193"/>
      <c r="O18" s="409">
        <f t="shared" si="0"/>
        <v>45364.49</v>
      </c>
      <c r="P18" s="354"/>
      <c r="R18" s="585"/>
      <c r="S18" s="318"/>
      <c r="T18" s="387"/>
      <c r="U18" s="304"/>
    </row>
    <row r="19" spans="1:21" s="55" customFormat="1" x14ac:dyDescent="0.2">
      <c r="A19" s="54"/>
      <c r="B19" s="54"/>
      <c r="C19" s="58" t="s">
        <v>333</v>
      </c>
      <c r="D19" s="58"/>
      <c r="E19" s="58"/>
      <c r="F19" s="54"/>
      <c r="G19" s="193"/>
      <c r="H19" s="193"/>
      <c r="I19" s="193"/>
      <c r="J19" s="193">
        <f>'April''24 State of Activities'!G11</f>
        <v>0</v>
      </c>
      <c r="K19" s="193">
        <v>1968.5</v>
      </c>
      <c r="L19" s="193"/>
      <c r="M19" s="193">
        <f>2100.03-1250</f>
        <v>850.0300000000002</v>
      </c>
      <c r="O19" s="409">
        <f t="shared" ref="O19:O20" si="1">J19-M19</f>
        <v>-850.0300000000002</v>
      </c>
      <c r="P19" s="354"/>
      <c r="R19" s="585">
        <f>186.59-R20</f>
        <v>162.31</v>
      </c>
      <c r="S19" s="318"/>
      <c r="T19" s="387"/>
      <c r="U19" s="304"/>
    </row>
    <row r="20" spans="1:21" s="55" customFormat="1" x14ac:dyDescent="0.2">
      <c r="A20" s="54"/>
      <c r="B20" s="54"/>
      <c r="C20" s="789" t="s">
        <v>336</v>
      </c>
      <c r="D20" s="789"/>
      <c r="E20" s="789"/>
      <c r="F20" s="789"/>
      <c r="G20" s="193"/>
      <c r="H20" s="193"/>
      <c r="I20" s="193"/>
      <c r="J20" s="193">
        <v>0</v>
      </c>
      <c r="K20" s="193">
        <v>1127.23</v>
      </c>
      <c r="L20" s="193"/>
      <c r="M20" s="193">
        <v>177.19</v>
      </c>
      <c r="O20" s="409">
        <f t="shared" si="1"/>
        <v>-177.19</v>
      </c>
      <c r="P20" s="354"/>
      <c r="R20" s="585">
        <v>24.28</v>
      </c>
      <c r="S20" s="318"/>
      <c r="T20" s="387"/>
      <c r="U20" s="304"/>
    </row>
    <row r="21" spans="1:21" s="55" customFormat="1" x14ac:dyDescent="0.2">
      <c r="A21" s="54"/>
      <c r="B21" s="54"/>
      <c r="C21" s="58" t="s">
        <v>342</v>
      </c>
      <c r="D21" s="58"/>
      <c r="E21" s="58"/>
      <c r="F21" s="54"/>
      <c r="G21" s="193">
        <v>1125</v>
      </c>
      <c r="H21" s="193">
        <v>6050</v>
      </c>
      <c r="I21" s="193"/>
      <c r="J21" s="193" t="e">
        <f>'April''24 State of Activities'!#REF!</f>
        <v>#REF!</v>
      </c>
      <c r="K21" s="193" t="e">
        <f>'April''24 State of Activities'!#REF!</f>
        <v>#REF!</v>
      </c>
      <c r="L21" s="193"/>
      <c r="M21" s="193" t="e">
        <f>'April''24 State of Activities'!#REF!</f>
        <v>#REF!</v>
      </c>
      <c r="O21" s="409" t="e">
        <f>J21-M21</f>
        <v>#REF!</v>
      </c>
      <c r="P21" s="354"/>
      <c r="R21" s="585"/>
    </row>
    <row r="22" spans="1:21" s="55" customFormat="1" ht="21" thickBot="1" x14ac:dyDescent="0.25">
      <c r="A22" s="54"/>
      <c r="B22" s="54"/>
      <c r="C22" s="58" t="s">
        <v>216</v>
      </c>
      <c r="D22" s="58"/>
      <c r="E22" s="58"/>
      <c r="F22" s="54"/>
      <c r="G22" s="200">
        <v>31250</v>
      </c>
      <c r="H22" s="200">
        <v>15624.98</v>
      </c>
      <c r="I22" s="193"/>
      <c r="J22" s="200">
        <f>'April''24 State of Activities'!G26*0.2</f>
        <v>3516</v>
      </c>
      <c r="K22" s="200">
        <f>'April''24 State of Activities'!H26*0.2</f>
        <v>10548</v>
      </c>
      <c r="L22" s="193"/>
      <c r="M22" s="200">
        <f>'April''24 State of Activities'!J26*0.2</f>
        <v>3516</v>
      </c>
      <c r="O22" s="410">
        <f>J22-M22</f>
        <v>0</v>
      </c>
      <c r="P22" s="335">
        <v>0</v>
      </c>
      <c r="R22" s="585"/>
    </row>
    <row r="23" spans="1:21" s="55" customFormat="1" x14ac:dyDescent="0.2">
      <c r="A23" s="54"/>
      <c r="B23" s="54"/>
      <c r="C23" s="58"/>
      <c r="D23" s="54" t="s">
        <v>104</v>
      </c>
      <c r="E23" s="58"/>
      <c r="F23" s="54"/>
      <c r="G23" s="193">
        <v>1161224.25</v>
      </c>
      <c r="H23" s="193">
        <v>516293.30999999994</v>
      </c>
      <c r="I23" s="193"/>
      <c r="J23" s="193" t="e">
        <f>SUM(J9:J22)</f>
        <v>#REF!</v>
      </c>
      <c r="K23" s="193" t="e">
        <f>SUM(K9:K22)</f>
        <v>#REF!</v>
      </c>
      <c r="L23" s="193"/>
      <c r="M23" s="193" t="e">
        <f>SUM(M9:M22)</f>
        <v>#REF!</v>
      </c>
      <c r="O23" s="225" t="e">
        <f>SUM(O9:O22)</f>
        <v>#REF!</v>
      </c>
      <c r="P23" s="354" t="e">
        <f>O23/M23</f>
        <v>#REF!</v>
      </c>
      <c r="R23" s="585"/>
    </row>
    <row r="24" spans="1:21" s="55" customFormat="1" ht="21" thickBot="1" x14ac:dyDescent="0.25">
      <c r="A24" s="54"/>
      <c r="B24" s="54"/>
      <c r="C24" s="54" t="s">
        <v>217</v>
      </c>
      <c r="D24" s="58"/>
      <c r="E24" s="58"/>
      <c r="F24" s="54"/>
      <c r="G24" s="200">
        <v>150176</v>
      </c>
      <c r="H24" s="200">
        <v>47700.27</v>
      </c>
      <c r="I24" s="193"/>
      <c r="J24" s="193">
        <f>19000/12*6</f>
        <v>9500</v>
      </c>
      <c r="K24" s="193">
        <v>19000</v>
      </c>
      <c r="L24" s="193"/>
      <c r="M24" s="193">
        <v>6333</v>
      </c>
      <c r="O24" s="409">
        <f>J24-M24</f>
        <v>3167</v>
      </c>
      <c r="P24" s="334">
        <f>O24/M24</f>
        <v>0.50007895152376436</v>
      </c>
      <c r="R24" s="193"/>
    </row>
    <row r="25" spans="1:21" s="55" customFormat="1" ht="21" thickBot="1" x14ac:dyDescent="0.25">
      <c r="A25" s="54"/>
      <c r="B25" s="54"/>
      <c r="C25" s="54" t="s">
        <v>218</v>
      </c>
      <c r="D25" s="58"/>
      <c r="E25" s="58"/>
      <c r="F25" s="54"/>
      <c r="G25" s="193"/>
      <c r="H25" s="193"/>
      <c r="I25" s="193"/>
      <c r="J25" s="200">
        <v>13582.02</v>
      </c>
      <c r="K25" s="200">
        <v>37834.400000000001</v>
      </c>
      <c r="L25" s="193"/>
      <c r="M25" s="200">
        <v>14484</v>
      </c>
      <c r="O25" s="316">
        <f>J25-M25</f>
        <v>-901.97999999999956</v>
      </c>
      <c r="P25" s="380">
        <f>O25/M25</f>
        <v>-6.2274233637116788E-2</v>
      </c>
      <c r="R25" s="585"/>
    </row>
    <row r="26" spans="1:21" s="55" customFormat="1" x14ac:dyDescent="0.2">
      <c r="A26" s="54"/>
      <c r="B26" s="54"/>
      <c r="C26" s="58"/>
      <c r="D26" s="54" t="s">
        <v>106</v>
      </c>
      <c r="E26" s="58"/>
      <c r="F26" s="54"/>
      <c r="G26" s="193">
        <v>1311400.25</v>
      </c>
      <c r="H26" s="193">
        <v>563993.57999999996</v>
      </c>
      <c r="I26" s="193"/>
      <c r="J26" s="193" t="e">
        <f>SUM(J23:J25)</f>
        <v>#REF!</v>
      </c>
      <c r="K26" s="193" t="e">
        <f>SUM(K23:K25)</f>
        <v>#REF!</v>
      </c>
      <c r="L26" s="193"/>
      <c r="M26" s="193" t="e">
        <f>SUM(M23:M25)</f>
        <v>#REF!</v>
      </c>
      <c r="O26" s="225" t="e">
        <f>J26-M26</f>
        <v>#REF!</v>
      </c>
      <c r="P26" s="354" t="e">
        <f>O26/M26</f>
        <v>#REF!</v>
      </c>
      <c r="R26" s="585"/>
    </row>
    <row r="27" spans="1:21" s="55" customFormat="1" x14ac:dyDescent="0.2">
      <c r="A27" s="54"/>
      <c r="B27" s="54"/>
      <c r="C27" s="58"/>
      <c r="D27" s="54"/>
      <c r="E27" s="58"/>
      <c r="F27" s="54"/>
      <c r="G27" s="193"/>
      <c r="H27" s="193"/>
      <c r="I27" s="193"/>
      <c r="J27" s="193"/>
      <c r="K27" s="480"/>
      <c r="L27" s="193"/>
      <c r="M27" s="193"/>
      <c r="R27" s="585"/>
    </row>
    <row r="28" spans="1:21" s="55" customFormat="1" ht="21" thickBot="1" x14ac:dyDescent="0.25">
      <c r="A28" s="54"/>
      <c r="B28" s="66" t="s">
        <v>110</v>
      </c>
      <c r="C28" s="66"/>
      <c r="D28" s="66"/>
      <c r="E28" s="66"/>
      <c r="F28" s="66"/>
      <c r="G28" s="200"/>
      <c r="J28" s="193"/>
      <c r="R28" s="585"/>
    </row>
    <row r="29" spans="1:21" s="55" customFormat="1" x14ac:dyDescent="0.2">
      <c r="A29" s="54"/>
      <c r="B29" s="54"/>
      <c r="C29" s="58" t="s">
        <v>219</v>
      </c>
      <c r="D29" s="58"/>
      <c r="E29" s="58"/>
      <c r="F29" s="58"/>
      <c r="G29" s="193">
        <v>733747.79999999993</v>
      </c>
      <c r="H29" s="225">
        <v>361976</v>
      </c>
      <c r="I29" s="225"/>
      <c r="J29" s="193"/>
      <c r="K29" s="225"/>
      <c r="L29" s="225"/>
      <c r="M29" s="225"/>
      <c r="R29" s="585"/>
    </row>
    <row r="30" spans="1:21" s="55" customFormat="1" x14ac:dyDescent="0.2">
      <c r="A30" s="54"/>
      <c r="B30" s="54"/>
      <c r="C30" s="58"/>
      <c r="D30" s="789" t="s">
        <v>220</v>
      </c>
      <c r="E30" s="789"/>
      <c r="F30" s="789"/>
      <c r="G30" s="193"/>
      <c r="H30" s="225"/>
      <c r="I30" s="225"/>
      <c r="J30" s="193">
        <v>64964.65</v>
      </c>
      <c r="K30" s="193">
        <v>162253.75</v>
      </c>
      <c r="L30" s="225"/>
      <c r="M30" s="193">
        <v>82702.42</v>
      </c>
      <c r="O30" s="225">
        <f t="shared" ref="O30:O50" si="2">J30-M30</f>
        <v>-17737.769999999997</v>
      </c>
      <c r="P30" s="354">
        <f>O30/M30</f>
        <v>-0.21447703706856458</v>
      </c>
      <c r="R30" s="585">
        <f>J30</f>
        <v>64964.65</v>
      </c>
    </row>
    <row r="31" spans="1:21" s="55" customFormat="1" x14ac:dyDescent="0.2">
      <c r="A31" s="54"/>
      <c r="B31" s="54"/>
      <c r="C31" s="58"/>
      <c r="D31" s="789" t="s">
        <v>221</v>
      </c>
      <c r="E31" s="789"/>
      <c r="F31" s="789"/>
      <c r="G31" s="193"/>
      <c r="H31" s="225"/>
      <c r="I31" s="225"/>
      <c r="J31" s="193">
        <f>23219.46+7406.6</f>
        <v>30626.059999999998</v>
      </c>
      <c r="K31" s="193">
        <f>37966.12+23862.63+605.03+106.59</f>
        <v>62540.369999999995</v>
      </c>
      <c r="L31" s="225"/>
      <c r="M31" s="193">
        <f>18368.1+11845.56</f>
        <v>30213.659999999996</v>
      </c>
      <c r="O31" s="225">
        <f t="shared" si="2"/>
        <v>412.40000000000146</v>
      </c>
      <c r="P31" s="354">
        <f>O31/M31</f>
        <v>1.3649455246401843E-2</v>
      </c>
      <c r="R31" s="585">
        <f>J31</f>
        <v>30626.059999999998</v>
      </c>
    </row>
    <row r="32" spans="1:21" s="55" customFormat="1" x14ac:dyDescent="0.2">
      <c r="A32" s="54"/>
      <c r="B32" s="54"/>
      <c r="C32" s="58"/>
      <c r="D32" s="789" t="s">
        <v>112</v>
      </c>
      <c r="E32" s="789"/>
      <c r="F32" s="789"/>
      <c r="G32" s="193"/>
      <c r="H32" s="225"/>
      <c r="I32" s="225"/>
      <c r="J32" s="193">
        <v>15442.94</v>
      </c>
      <c r="K32" s="193">
        <v>42279.58</v>
      </c>
      <c r="L32" s="225"/>
      <c r="M32" s="193">
        <f>(M30+M31)*0.18</f>
        <v>20324.894399999997</v>
      </c>
      <c r="O32" s="225">
        <f t="shared" si="2"/>
        <v>-4881.9543999999969</v>
      </c>
      <c r="P32" s="354">
        <f>O32/M32</f>
        <v>-0.24019580638017965</v>
      </c>
      <c r="R32" s="204">
        <f>J32</f>
        <v>15442.94</v>
      </c>
    </row>
    <row r="33" spans="1:19" s="55" customFormat="1" x14ac:dyDescent="0.2">
      <c r="A33" s="54"/>
      <c r="B33" s="54"/>
      <c r="C33" s="58" t="s">
        <v>277</v>
      </c>
      <c r="D33" s="58"/>
      <c r="E33" s="58"/>
      <c r="F33" s="58"/>
      <c r="G33" s="193">
        <v>44745.18</v>
      </c>
      <c r="H33" s="193">
        <v>20974.21</v>
      </c>
      <c r="I33" s="193"/>
      <c r="J33" s="193"/>
      <c r="K33" s="480"/>
      <c r="L33" s="193"/>
      <c r="M33" s="480"/>
      <c r="O33" s="225">
        <f t="shared" si="2"/>
        <v>0</v>
      </c>
      <c r="P33" s="354"/>
      <c r="R33" s="585"/>
      <c r="S33" s="55">
        <f>R32/(R30+R31)</f>
        <v>0.16155272829336662</v>
      </c>
    </row>
    <row r="34" spans="1:19" s="55" customFormat="1" x14ac:dyDescent="0.2">
      <c r="A34" s="54"/>
      <c r="B34" s="54"/>
      <c r="C34" s="58"/>
      <c r="D34" s="789" t="s">
        <v>222</v>
      </c>
      <c r="E34" s="789"/>
      <c r="F34" s="789"/>
      <c r="G34" s="193"/>
      <c r="H34" s="193"/>
      <c r="I34" s="193"/>
      <c r="J34" s="193">
        <v>7876.42</v>
      </c>
      <c r="K34" s="193">
        <v>25472.83</v>
      </c>
      <c r="L34" s="193"/>
      <c r="M34" s="193">
        <v>8106.06</v>
      </c>
      <c r="O34" s="225">
        <f t="shared" si="2"/>
        <v>-229.64000000000033</v>
      </c>
      <c r="P34" s="354">
        <f t="shared" ref="P34:P41" si="3">O34/M34</f>
        <v>-2.832942267883538E-2</v>
      </c>
      <c r="R34" s="585">
        <v>7876.42</v>
      </c>
    </row>
    <row r="35" spans="1:19" s="55" customFormat="1" x14ac:dyDescent="0.2">
      <c r="A35" s="54"/>
      <c r="B35" s="54"/>
      <c r="C35" s="58"/>
      <c r="D35" s="789" t="s">
        <v>223</v>
      </c>
      <c r="E35" s="789"/>
      <c r="F35" s="789"/>
      <c r="G35" s="193"/>
      <c r="H35" s="193"/>
      <c r="I35" s="193"/>
      <c r="J35" s="193">
        <v>11303.34</v>
      </c>
      <c r="K35" s="193">
        <v>17989.87</v>
      </c>
      <c r="L35" s="193"/>
      <c r="M35" s="193">
        <v>5932.49</v>
      </c>
      <c r="O35" s="225">
        <f t="shared" si="2"/>
        <v>5370.85</v>
      </c>
      <c r="P35" s="354">
        <f t="shared" si="3"/>
        <v>0.90532811686155401</v>
      </c>
      <c r="R35" s="585">
        <v>11303.34</v>
      </c>
    </row>
    <row r="36" spans="1:19" s="55" customFormat="1" x14ac:dyDescent="0.2">
      <c r="A36" s="54"/>
      <c r="B36" s="54"/>
      <c r="C36" s="58"/>
      <c r="D36" s="789" t="s">
        <v>303</v>
      </c>
      <c r="E36" s="789"/>
      <c r="F36" s="789"/>
      <c r="G36" s="193"/>
      <c r="H36" s="193"/>
      <c r="I36" s="193"/>
      <c r="J36" s="193">
        <v>11898.19</v>
      </c>
      <c r="K36" s="193">
        <v>16090.9</v>
      </c>
      <c r="L36" s="193"/>
      <c r="M36" s="193">
        <v>7105.84</v>
      </c>
      <c r="O36" s="225">
        <f t="shared" si="2"/>
        <v>4792.3500000000004</v>
      </c>
      <c r="P36" s="354">
        <f t="shared" si="3"/>
        <v>0.6744241356405436</v>
      </c>
      <c r="R36" s="585">
        <v>11898.19</v>
      </c>
    </row>
    <row r="37" spans="1:19" s="55" customFormat="1" x14ac:dyDescent="0.2">
      <c r="A37" s="54"/>
      <c r="B37" s="54"/>
      <c r="C37" s="58"/>
      <c r="D37" s="789" t="s">
        <v>224</v>
      </c>
      <c r="E37" s="789"/>
      <c r="F37" s="789"/>
      <c r="G37" s="193"/>
      <c r="H37" s="193"/>
      <c r="I37" s="193"/>
      <c r="J37" s="193">
        <v>307</v>
      </c>
      <c r="K37" s="193">
        <v>1427.75</v>
      </c>
      <c r="L37" s="193"/>
      <c r="M37" s="193">
        <v>79</v>
      </c>
      <c r="O37" s="225">
        <f t="shared" si="2"/>
        <v>228</v>
      </c>
      <c r="P37" s="354">
        <f t="shared" si="3"/>
        <v>2.8860759493670884</v>
      </c>
      <c r="R37" s="585">
        <v>307</v>
      </c>
    </row>
    <row r="38" spans="1:19" s="55" customFormat="1" x14ac:dyDescent="0.2">
      <c r="A38" s="54"/>
      <c r="B38" s="54"/>
      <c r="C38" s="58" t="s">
        <v>225</v>
      </c>
      <c r="D38" s="58"/>
      <c r="E38" s="58"/>
      <c r="F38" s="58"/>
      <c r="G38" s="193">
        <v>27200</v>
      </c>
      <c r="H38" s="193">
        <v>11327</v>
      </c>
      <c r="I38" s="193"/>
      <c r="J38" s="193">
        <v>15180</v>
      </c>
      <c r="K38" s="193">
        <f>22438.68+1591</f>
        <v>24029.68</v>
      </c>
      <c r="L38" s="193"/>
      <c r="M38" s="193">
        <f>530.32+7060.24</f>
        <v>7590.5599999999995</v>
      </c>
      <c r="O38" s="225">
        <f t="shared" si="2"/>
        <v>7589.4400000000005</v>
      </c>
      <c r="P38" s="354">
        <f t="shared" si="3"/>
        <v>0.99985244830420961</v>
      </c>
      <c r="R38" s="585">
        <f>930+14250</f>
        <v>15180</v>
      </c>
    </row>
    <row r="39" spans="1:19" s="55" customFormat="1" x14ac:dyDescent="0.2">
      <c r="A39" s="54"/>
      <c r="B39" s="54"/>
      <c r="C39" s="58" t="s">
        <v>103</v>
      </c>
      <c r="D39" s="58"/>
      <c r="E39" s="58"/>
      <c r="F39" s="58"/>
      <c r="G39" s="193">
        <v>150176</v>
      </c>
      <c r="H39" s="225">
        <v>47700.27</v>
      </c>
      <c r="I39" s="225"/>
      <c r="J39" s="193">
        <f>J22</f>
        <v>3516</v>
      </c>
      <c r="K39" s="193">
        <f>K22</f>
        <v>10548</v>
      </c>
      <c r="L39" s="225"/>
      <c r="M39" s="193">
        <f>M22</f>
        <v>3516</v>
      </c>
      <c r="O39" s="225">
        <f t="shared" si="2"/>
        <v>0</v>
      </c>
      <c r="P39" s="354">
        <f t="shared" si="3"/>
        <v>0</v>
      </c>
      <c r="R39" s="585"/>
    </row>
    <row r="40" spans="1:19" s="55" customFormat="1" x14ac:dyDescent="0.2">
      <c r="A40" s="54"/>
      <c r="B40" s="54"/>
      <c r="C40" s="58" t="s">
        <v>312</v>
      </c>
      <c r="D40" s="58"/>
      <c r="E40" s="58"/>
      <c r="F40" s="58"/>
      <c r="G40" s="193"/>
      <c r="H40" s="225"/>
      <c r="I40" s="225"/>
      <c r="J40" s="193">
        <f>1268+392</f>
        <v>1660</v>
      </c>
      <c r="K40" s="193">
        <v>4497</v>
      </c>
      <c r="L40" s="225"/>
      <c r="M40" s="193">
        <v>1388</v>
      </c>
      <c r="O40" s="225">
        <f t="shared" si="2"/>
        <v>272</v>
      </c>
      <c r="P40" s="354">
        <f t="shared" si="3"/>
        <v>0.19596541786743515</v>
      </c>
      <c r="R40" s="585">
        <v>2437</v>
      </c>
    </row>
    <row r="41" spans="1:19" s="55" customFormat="1" x14ac:dyDescent="0.2">
      <c r="A41" s="54"/>
      <c r="B41" s="54"/>
      <c r="C41" s="58" t="s">
        <v>226</v>
      </c>
      <c r="D41" s="58"/>
      <c r="E41" s="58"/>
      <c r="F41" s="58"/>
      <c r="G41" s="193"/>
      <c r="H41" s="225"/>
      <c r="I41" s="225"/>
      <c r="J41" s="193">
        <v>954</v>
      </c>
      <c r="K41" s="193">
        <f>75+874</f>
        <v>949</v>
      </c>
      <c r="L41" s="225"/>
      <c r="M41" s="193">
        <f>393+75</f>
        <v>468</v>
      </c>
      <c r="O41" s="225">
        <f t="shared" si="2"/>
        <v>486</v>
      </c>
      <c r="P41" s="354">
        <f t="shared" si="3"/>
        <v>1.0384615384615385</v>
      </c>
      <c r="R41" s="585">
        <f>105+877</f>
        <v>982</v>
      </c>
      <c r="S41" s="578">
        <f>R41</f>
        <v>982</v>
      </c>
    </row>
    <row r="42" spans="1:19" s="55" customFormat="1" x14ac:dyDescent="0.2">
      <c r="A42" s="54"/>
      <c r="B42" s="54"/>
      <c r="C42" s="58" t="s">
        <v>380</v>
      </c>
      <c r="D42" s="58"/>
      <c r="E42" s="58"/>
      <c r="F42" s="58"/>
      <c r="G42" s="193">
        <v>10993.12</v>
      </c>
      <c r="H42" s="225">
        <v>4904.57</v>
      </c>
      <c r="I42" s="225"/>
      <c r="J42" s="193">
        <f>1600.82+472.16</f>
        <v>2072.98</v>
      </c>
      <c r="K42" s="193">
        <v>4436.1400000000003</v>
      </c>
      <c r="L42" s="225"/>
      <c r="M42" s="193">
        <f>18.18+1152.17</f>
        <v>1170.3500000000001</v>
      </c>
      <c r="O42" s="225">
        <f t="shared" si="2"/>
        <v>902.62999999999988</v>
      </c>
      <c r="P42" s="354">
        <f>O42/M42</f>
        <v>0.77124791728969944</v>
      </c>
      <c r="R42" s="585">
        <f>757.49+3120.83+26.18</f>
        <v>3904.4999999999995</v>
      </c>
    </row>
    <row r="43" spans="1:19" s="55" customFormat="1" x14ac:dyDescent="0.2">
      <c r="A43" s="54"/>
      <c r="B43" s="54"/>
      <c r="C43" s="58" t="s">
        <v>227</v>
      </c>
      <c r="D43" s="58"/>
      <c r="E43" s="58"/>
      <c r="F43" s="58"/>
      <c r="G43" s="193">
        <v>10250.949999999999</v>
      </c>
      <c r="H43" s="225">
        <v>3982.99</v>
      </c>
      <c r="I43" s="225"/>
      <c r="J43" s="193">
        <f>41.5+32.88</f>
        <v>74.38</v>
      </c>
      <c r="K43" s="193">
        <f>223.01+568.51</f>
        <v>791.52</v>
      </c>
      <c r="L43" s="225"/>
      <c r="M43" s="193">
        <f>11.58+94.37+34.1+4.4</f>
        <v>144.45000000000002</v>
      </c>
      <c r="O43" s="225">
        <f t="shared" si="2"/>
        <v>-70.070000000000022</v>
      </c>
      <c r="P43" s="354">
        <f>O43/M43</f>
        <v>-0.48508134302526834</v>
      </c>
      <c r="R43" s="585">
        <f>9.2+72.5+8.53+225.13</f>
        <v>315.36</v>
      </c>
      <c r="S43" s="578">
        <f>R43</f>
        <v>315.36</v>
      </c>
    </row>
    <row r="44" spans="1:19" s="55" customFormat="1" x14ac:dyDescent="0.2">
      <c r="A44" s="54"/>
      <c r="B44" s="54"/>
      <c r="C44" s="58" t="s">
        <v>121</v>
      </c>
      <c r="D44" s="58"/>
      <c r="E44" s="58"/>
      <c r="F44" s="58"/>
      <c r="G44" s="193">
        <v>4412.53</v>
      </c>
      <c r="H44" s="226">
        <v>5667</v>
      </c>
      <c r="I44" s="226"/>
      <c r="J44" s="193">
        <f>473.98+380.58+21.4+125</f>
        <v>1000.9599999999999</v>
      </c>
      <c r="K44" s="193">
        <v>1826.56</v>
      </c>
      <c r="L44" s="226"/>
      <c r="M44" s="193">
        <f>72.06+953.27</f>
        <v>1025.33</v>
      </c>
      <c r="O44" s="225">
        <f t="shared" si="2"/>
        <v>-24.370000000000005</v>
      </c>
      <c r="P44" s="354">
        <f>O44/M44</f>
        <v>-2.3767957633152259E-2</v>
      </c>
      <c r="R44" s="585">
        <f>108.49+189+1123.3</f>
        <v>1420.79</v>
      </c>
    </row>
    <row r="45" spans="1:19" s="55" customFormat="1" x14ac:dyDescent="0.2">
      <c r="A45" s="54"/>
      <c r="B45" s="54"/>
      <c r="C45" s="58" t="s">
        <v>119</v>
      </c>
      <c r="D45" s="58"/>
      <c r="E45" s="58"/>
      <c r="F45" s="58"/>
      <c r="G45" s="193">
        <v>7901</v>
      </c>
      <c r="H45" s="225">
        <v>4149.6000000000004</v>
      </c>
      <c r="I45" s="225"/>
      <c r="J45" s="193">
        <f>84.85+28.27</f>
        <v>113.11999999999999</v>
      </c>
      <c r="K45" s="193">
        <v>396.82</v>
      </c>
      <c r="L45" s="225"/>
      <c r="M45" s="193">
        <f>150.1</f>
        <v>150.1</v>
      </c>
      <c r="O45" s="225">
        <f t="shared" si="2"/>
        <v>-36.980000000000004</v>
      </c>
      <c r="P45" s="354">
        <f>O45/M45</f>
        <v>-0.24636908727514994</v>
      </c>
      <c r="R45" s="585">
        <f>0.1+152.24</f>
        <v>152.34</v>
      </c>
      <c r="S45" s="578">
        <f>R45</f>
        <v>152.34</v>
      </c>
    </row>
    <row r="46" spans="1:19" s="55" customFormat="1" hidden="1" x14ac:dyDescent="0.2">
      <c r="A46" s="54"/>
      <c r="B46" s="54"/>
      <c r="C46" s="58" t="s">
        <v>228</v>
      </c>
      <c r="D46" s="58"/>
      <c r="E46" s="58"/>
      <c r="F46" s="58"/>
      <c r="G46" s="193"/>
      <c r="H46" s="225"/>
      <c r="I46" s="225"/>
      <c r="J46" s="193"/>
      <c r="K46" s="193"/>
      <c r="L46" s="225"/>
      <c r="M46" s="193"/>
      <c r="O46" s="225">
        <f t="shared" si="2"/>
        <v>0</v>
      </c>
      <c r="P46" s="354"/>
      <c r="R46" s="585"/>
    </row>
    <row r="47" spans="1:19" s="55" customFormat="1" x14ac:dyDescent="0.2">
      <c r="A47" s="58"/>
      <c r="B47" s="58"/>
      <c r="C47" s="58" t="s">
        <v>115</v>
      </c>
      <c r="D47" s="58"/>
      <c r="E47" s="58"/>
      <c r="F47" s="58"/>
      <c r="G47" s="193">
        <v>5428.37</v>
      </c>
      <c r="H47" s="225">
        <v>2024.52</v>
      </c>
      <c r="I47" s="225"/>
      <c r="J47" s="193">
        <f>144.57+13.67</f>
        <v>158.23999999999998</v>
      </c>
      <c r="K47" s="193">
        <v>422.62</v>
      </c>
      <c r="L47" s="225"/>
      <c r="M47" s="193">
        <v>151.52000000000001</v>
      </c>
      <c r="O47" s="225">
        <f t="shared" si="2"/>
        <v>6.7199999999999704</v>
      </c>
      <c r="P47" s="354">
        <f>O47/M47</f>
        <v>4.4350580781414795E-2</v>
      </c>
      <c r="R47" s="585">
        <v>207.91</v>
      </c>
    </row>
    <row r="48" spans="1:19" s="55" customFormat="1" x14ac:dyDescent="0.2">
      <c r="A48" s="58"/>
      <c r="B48" s="58"/>
      <c r="C48" s="58" t="s">
        <v>229</v>
      </c>
      <c r="D48" s="58"/>
      <c r="E48" s="58"/>
      <c r="F48" s="58"/>
      <c r="G48" s="193">
        <v>83462.91</v>
      </c>
      <c r="H48" s="193">
        <v>18995.71</v>
      </c>
      <c r="I48" s="193"/>
      <c r="J48" s="195">
        <f>43.18+110</f>
        <v>153.18</v>
      </c>
      <c r="K48" s="195">
        <f>248.22+18.56+28.25+5</f>
        <v>300.02999999999997</v>
      </c>
      <c r="L48" s="193"/>
      <c r="M48" s="195">
        <v>58.6</v>
      </c>
      <c r="O48" s="412">
        <f t="shared" si="2"/>
        <v>94.580000000000013</v>
      </c>
      <c r="P48" s="411">
        <f>O48/M48</f>
        <v>1.6139931740614337</v>
      </c>
      <c r="R48" s="585">
        <f>25+228.45+110</f>
        <v>363.45</v>
      </c>
    </row>
    <row r="49" spans="1:21" s="55" customFormat="1" ht="21" thickBot="1" x14ac:dyDescent="0.25">
      <c r="A49" s="54"/>
      <c r="B49" s="54"/>
      <c r="C49" s="54"/>
      <c r="D49" s="54" t="s">
        <v>127</v>
      </c>
      <c r="E49" s="54"/>
      <c r="F49" s="54"/>
      <c r="G49" s="200">
        <v>1078317.8599999999</v>
      </c>
      <c r="H49" s="200">
        <v>481701.87000000005</v>
      </c>
      <c r="I49" s="193"/>
      <c r="J49" s="382">
        <f>SUM(J30:J48)</f>
        <v>167301.45999999996</v>
      </c>
      <c r="K49" s="382">
        <f>SUM(K30:K48)</f>
        <v>376252.4200000001</v>
      </c>
      <c r="L49" s="193"/>
      <c r="M49" s="382">
        <f>SUM(M30:M48)</f>
        <v>170127.27439999997</v>
      </c>
      <c r="O49" s="382">
        <f t="shared" si="2"/>
        <v>-2825.8144000000029</v>
      </c>
      <c r="P49" s="380">
        <f>O49/M49</f>
        <v>-1.6610002187867904E-2</v>
      </c>
      <c r="R49" s="585"/>
      <c r="U49" s="285"/>
    </row>
    <row r="50" spans="1:21" s="55" customFormat="1" ht="21" thickBot="1" x14ac:dyDescent="0.25">
      <c r="A50" s="54"/>
      <c r="B50" s="54"/>
      <c r="C50" s="54"/>
      <c r="D50" s="54" t="s">
        <v>128</v>
      </c>
      <c r="E50" s="54"/>
      <c r="F50" s="54"/>
      <c r="G50" s="200">
        <v>233082.39000000013</v>
      </c>
      <c r="H50" s="200">
        <v>82291.709999999905</v>
      </c>
      <c r="I50" s="193"/>
      <c r="J50" s="383" t="e">
        <f>J26-J49</f>
        <v>#REF!</v>
      </c>
      <c r="K50" s="383" t="e">
        <f>K26-K49</f>
        <v>#REF!</v>
      </c>
      <c r="L50" s="193"/>
      <c r="M50" s="383" t="e">
        <f>M26-M49</f>
        <v>#REF!</v>
      </c>
      <c r="O50" s="316" t="e">
        <f t="shared" si="2"/>
        <v>#REF!</v>
      </c>
      <c r="P50" s="380" t="e">
        <f>O50/M50</f>
        <v>#REF!</v>
      </c>
      <c r="R50" s="585">
        <f>SUM(R29:R49)</f>
        <v>167381.94999999998</v>
      </c>
    </row>
    <row r="51" spans="1:21" s="55" customFormat="1" x14ac:dyDescent="0.2">
      <c r="A51" s="54"/>
      <c r="B51" s="54"/>
      <c r="C51" s="54"/>
      <c r="D51" s="54"/>
      <c r="E51" s="54"/>
      <c r="F51" s="54"/>
      <c r="G51" s="193"/>
      <c r="H51" s="193"/>
      <c r="I51" s="193"/>
      <c r="J51" s="193"/>
      <c r="K51" s="193"/>
      <c r="L51" s="193"/>
      <c r="M51" s="193"/>
      <c r="R51" s="585"/>
    </row>
    <row r="52" spans="1:21" s="52" customFormat="1" ht="26.25" x14ac:dyDescent="0.2">
      <c r="A52" s="219"/>
      <c r="B52" s="219"/>
      <c r="C52" s="58" t="s">
        <v>264</v>
      </c>
      <c r="E52" s="58"/>
      <c r="F52" s="58"/>
      <c r="G52" s="221"/>
      <c r="H52" s="193"/>
      <c r="I52" s="193"/>
      <c r="J52" s="193"/>
      <c r="K52" s="193">
        <v>-69500</v>
      </c>
      <c r="L52" s="193"/>
      <c r="M52" s="193"/>
      <c r="O52" s="225">
        <f>J52-M52</f>
        <v>0</v>
      </c>
      <c r="P52" s="334"/>
      <c r="R52" s="585"/>
    </row>
    <row r="53" spans="1:21" s="55" customFormat="1" x14ac:dyDescent="0.2">
      <c r="A53" s="54"/>
      <c r="B53" s="54"/>
      <c r="C53" s="58" t="s">
        <v>230</v>
      </c>
      <c r="E53" s="54"/>
      <c r="G53" s="193"/>
      <c r="H53" s="193"/>
      <c r="I53" s="193"/>
      <c r="J53" s="193">
        <f>J38</f>
        <v>15180</v>
      </c>
      <c r="K53" s="193">
        <f>K38</f>
        <v>24029.68</v>
      </c>
      <c r="L53" s="193"/>
      <c r="M53" s="193">
        <f>M38</f>
        <v>7590.5599999999995</v>
      </c>
      <c r="O53" s="225">
        <f>J53-M53</f>
        <v>7589.4400000000005</v>
      </c>
      <c r="P53" s="334">
        <v>3.5414486921529216E-2</v>
      </c>
      <c r="R53" s="585"/>
    </row>
    <row r="54" spans="1:21" s="55" customFormat="1" ht="24" thickBot="1" x14ac:dyDescent="0.25">
      <c r="A54" s="54"/>
      <c r="B54" s="222"/>
      <c r="C54" s="54"/>
      <c r="D54" s="792" t="s">
        <v>231</v>
      </c>
      <c r="E54" s="792"/>
      <c r="F54" s="792"/>
      <c r="G54" s="193"/>
      <c r="H54" s="193"/>
      <c r="I54" s="193"/>
      <c r="J54" s="384" t="e">
        <f>J50+J52+J53</f>
        <v>#REF!</v>
      </c>
      <c r="K54" s="384" t="e">
        <f>K50+K52+K53</f>
        <v>#REF!</v>
      </c>
      <c r="L54" s="202"/>
      <c r="M54" s="384" t="e">
        <f>M50+M52+M53</f>
        <v>#REF!</v>
      </c>
      <c r="N54" s="318"/>
      <c r="O54" s="381" t="e">
        <f>J54-M54</f>
        <v>#REF!</v>
      </c>
      <c r="P54" s="407">
        <v>2.1062768618503362E-2</v>
      </c>
      <c r="R54" s="585"/>
    </row>
    <row r="55" spans="1:21" s="55" customFormat="1" ht="42" customHeight="1" thickTop="1" x14ac:dyDescent="0.2">
      <c r="A55" s="54"/>
      <c r="B55" s="54"/>
      <c r="C55" s="54"/>
      <c r="D55" s="54"/>
      <c r="E55" s="54"/>
      <c r="F55" s="54"/>
      <c r="G55" s="193"/>
      <c r="H55" s="193"/>
      <c r="I55" s="193"/>
      <c r="J55" s="193"/>
      <c r="K55" s="193"/>
      <c r="L55" s="193"/>
      <c r="M55" s="193"/>
      <c r="R55" s="585"/>
    </row>
    <row r="56" spans="1:21" s="55" customFormat="1" x14ac:dyDescent="0.2">
      <c r="A56" s="58"/>
      <c r="B56" s="58"/>
      <c r="C56" s="58"/>
      <c r="D56" s="58"/>
      <c r="F56" s="58" t="s">
        <v>308</v>
      </c>
      <c r="G56" s="202"/>
      <c r="H56" s="193"/>
      <c r="I56" s="193"/>
      <c r="J56" s="193">
        <v>62742</v>
      </c>
      <c r="K56" s="193">
        <v>227723</v>
      </c>
      <c r="L56" s="193"/>
      <c r="M56" s="193">
        <v>74506</v>
      </c>
      <c r="O56" s="204"/>
      <c r="R56" s="585"/>
    </row>
    <row r="57" spans="1:21" s="55" customFormat="1" ht="21" thickBot="1" x14ac:dyDescent="0.25">
      <c r="A57" s="58"/>
      <c r="B57" s="58"/>
      <c r="C57" s="58"/>
      <c r="D57" s="58"/>
      <c r="F57" s="58" t="s">
        <v>313</v>
      </c>
      <c r="G57" s="193"/>
      <c r="H57" s="193"/>
      <c r="I57" s="193"/>
      <c r="J57" s="492">
        <f>(J49-J38-J39)/J56</f>
        <v>2.3685164642504217</v>
      </c>
      <c r="K57" s="492">
        <f>(K49-K38-K39)/K56</f>
        <v>1.5003962709080774</v>
      </c>
      <c r="L57" s="493"/>
      <c r="M57" s="492">
        <f>(M49-M38-M39)/M56</f>
        <v>2.1343343408584539</v>
      </c>
      <c r="R57" s="585"/>
    </row>
    <row r="58" spans="1:21" s="55" customFormat="1" x14ac:dyDescent="0.2">
      <c r="A58" s="58"/>
      <c r="B58" s="58"/>
      <c r="C58" s="58"/>
      <c r="D58" s="58"/>
      <c r="F58" s="58"/>
      <c r="G58" s="193"/>
      <c r="H58" s="193"/>
      <c r="I58" s="193"/>
      <c r="J58" s="193"/>
      <c r="K58" s="193"/>
      <c r="L58" s="193"/>
      <c r="M58" s="193"/>
      <c r="R58" s="585"/>
    </row>
    <row r="59" spans="1:21" s="55" customFormat="1" x14ac:dyDescent="0.2">
      <c r="A59" s="58"/>
      <c r="B59" s="58"/>
      <c r="C59" s="58"/>
      <c r="D59" s="58"/>
      <c r="F59" s="58" t="s">
        <v>309</v>
      </c>
      <c r="G59" s="193"/>
      <c r="H59" s="193"/>
      <c r="I59" s="193"/>
      <c r="J59" s="193">
        <v>4125</v>
      </c>
      <c r="K59" s="193">
        <v>16457</v>
      </c>
      <c r="L59" s="193"/>
      <c r="M59" s="193">
        <v>5516</v>
      </c>
      <c r="P59" s="204"/>
      <c r="R59" s="585"/>
    </row>
    <row r="60" spans="1:21" s="55" customFormat="1" ht="21" thickBot="1" x14ac:dyDescent="0.25">
      <c r="A60" s="58"/>
      <c r="B60" s="58"/>
      <c r="C60" s="58"/>
      <c r="D60" s="58"/>
      <c r="F60" s="58" t="s">
        <v>369</v>
      </c>
      <c r="G60" s="193"/>
      <c r="H60" s="193"/>
      <c r="I60" s="193"/>
      <c r="J60" s="492">
        <f>(J49-J38-J39)/J59</f>
        <v>36.025566060606053</v>
      </c>
      <c r="K60" s="492">
        <f>(K49-K38-K39)/K59</f>
        <v>20.761666160296535</v>
      </c>
      <c r="L60" s="193"/>
      <c r="M60" s="492">
        <f>(M49-M38-M39)/M59</f>
        <v>28.828991007976789</v>
      </c>
      <c r="R60" s="585"/>
    </row>
    <row r="61" spans="1:21" s="55" customFormat="1" x14ac:dyDescent="0.2">
      <c r="A61" s="58"/>
      <c r="B61" s="58"/>
      <c r="C61" s="58"/>
      <c r="D61" s="58"/>
      <c r="F61" s="58"/>
      <c r="G61" s="193"/>
      <c r="H61" s="193"/>
      <c r="I61" s="193"/>
      <c r="J61" s="193"/>
      <c r="K61" s="193"/>
      <c r="L61" s="193"/>
      <c r="M61" s="193"/>
      <c r="R61" s="585"/>
    </row>
    <row r="62" spans="1:21" s="55" customFormat="1" x14ac:dyDescent="0.2">
      <c r="A62" s="58"/>
      <c r="B62" s="58"/>
      <c r="C62" s="54"/>
      <c r="D62" s="58"/>
      <c r="F62" s="58" t="s">
        <v>310</v>
      </c>
      <c r="G62" s="193"/>
      <c r="H62" s="193"/>
      <c r="I62" s="193"/>
      <c r="J62" s="193">
        <v>1517</v>
      </c>
      <c r="K62" s="193">
        <v>7208</v>
      </c>
      <c r="L62" s="193"/>
      <c r="M62" s="193">
        <v>2389</v>
      </c>
      <c r="R62" s="585"/>
    </row>
    <row r="63" spans="1:21" s="55" customFormat="1" ht="21" thickBot="1" x14ac:dyDescent="0.25">
      <c r="A63" s="58"/>
      <c r="B63" s="58"/>
      <c r="C63" s="58"/>
      <c r="D63" s="58"/>
      <c r="E63" s="58"/>
      <c r="F63" s="58" t="s">
        <v>370</v>
      </c>
      <c r="G63" s="193"/>
      <c r="H63" s="193"/>
      <c r="I63" s="193"/>
      <c r="J63" s="492">
        <f>J9/J62</f>
        <v>27.359485827290705</v>
      </c>
      <c r="K63" s="492">
        <f>K9/K62</f>
        <v>22.020116537180911</v>
      </c>
      <c r="L63" s="193"/>
      <c r="M63" s="492">
        <f>M9/M62</f>
        <v>32.932381749686066</v>
      </c>
      <c r="R63" s="585"/>
    </row>
    <row r="64" spans="1:21" s="55" customFormat="1" x14ac:dyDescent="0.2">
      <c r="A64" s="58"/>
      <c r="B64" s="58"/>
      <c r="C64" s="54"/>
      <c r="D64" s="54"/>
      <c r="G64" s="193"/>
      <c r="H64" s="193"/>
      <c r="I64" s="193"/>
      <c r="J64" s="193"/>
      <c r="K64" s="193"/>
      <c r="L64" s="193"/>
      <c r="M64" s="193"/>
      <c r="R64" s="585"/>
    </row>
    <row r="65" spans="1:18" s="55" customFormat="1" x14ac:dyDescent="0.2">
      <c r="A65" s="58"/>
      <c r="B65" s="58"/>
      <c r="C65" s="58"/>
      <c r="D65" s="58"/>
      <c r="E65" s="58"/>
      <c r="F65" s="58"/>
      <c r="G65" s="193"/>
      <c r="H65" s="193"/>
      <c r="I65" s="193"/>
      <c r="J65" s="193"/>
      <c r="K65" s="193"/>
      <c r="L65" s="193"/>
      <c r="M65" s="193"/>
      <c r="R65" s="585"/>
    </row>
    <row r="66" spans="1:18" s="55" customFormat="1" x14ac:dyDescent="0.2">
      <c r="A66" s="58"/>
      <c r="B66" s="58"/>
      <c r="C66" s="58"/>
      <c r="D66" s="58"/>
      <c r="E66" s="58"/>
      <c r="F66" s="58"/>
      <c r="G66" s="193"/>
      <c r="H66" s="193"/>
      <c r="I66" s="193"/>
      <c r="J66" s="193"/>
      <c r="K66" s="193"/>
      <c r="L66" s="193"/>
      <c r="M66" s="193"/>
      <c r="R66" s="585"/>
    </row>
    <row r="67" spans="1:18" s="55" customFormat="1" x14ac:dyDescent="0.2">
      <c r="A67" s="58"/>
      <c r="B67" s="58"/>
      <c r="C67" s="54"/>
      <c r="D67" s="58"/>
      <c r="F67" s="58"/>
      <c r="G67" s="193"/>
      <c r="H67" s="193"/>
      <c r="I67" s="193"/>
      <c r="J67" s="193"/>
      <c r="K67" s="193"/>
      <c r="L67" s="193"/>
      <c r="M67" s="193"/>
      <c r="R67" s="585"/>
    </row>
    <row r="68" spans="1:18" s="55" customFormat="1" x14ac:dyDescent="0.2">
      <c r="A68" s="58"/>
      <c r="B68" s="58"/>
      <c r="C68" s="58"/>
      <c r="D68" s="58"/>
      <c r="E68" s="58"/>
      <c r="F68" s="58"/>
      <c r="G68" s="193"/>
      <c r="H68" s="193"/>
      <c r="I68" s="193"/>
      <c r="J68" s="193"/>
      <c r="K68" s="193"/>
      <c r="L68" s="193"/>
      <c r="M68" s="193"/>
      <c r="R68" s="585"/>
    </row>
    <row r="69" spans="1:18" s="55" customFormat="1" x14ac:dyDescent="0.2">
      <c r="A69" s="54"/>
      <c r="B69" s="54"/>
      <c r="C69" s="54"/>
      <c r="D69" s="54"/>
      <c r="E69" s="54"/>
      <c r="F69" s="54"/>
      <c r="G69" s="196"/>
      <c r="H69" s="196"/>
      <c r="I69" s="196"/>
      <c r="J69" s="196"/>
      <c r="K69" s="196"/>
      <c r="L69" s="196"/>
      <c r="M69" s="196"/>
      <c r="R69" s="585"/>
    </row>
    <row r="70" spans="1:18" s="55" customFormat="1" x14ac:dyDescent="0.2">
      <c r="A70" s="54"/>
      <c r="B70" s="54"/>
      <c r="C70" s="54"/>
      <c r="D70" s="54"/>
      <c r="E70" s="54"/>
      <c r="F70" s="54"/>
      <c r="G70" s="196"/>
      <c r="H70" s="196"/>
      <c r="I70" s="196"/>
      <c r="J70" s="196"/>
      <c r="K70" s="196"/>
      <c r="L70" s="196"/>
      <c r="M70" s="196"/>
      <c r="R70" s="585"/>
    </row>
    <row r="71" spans="1:18" s="55" customFormat="1" ht="23.25" x14ac:dyDescent="0.2">
      <c r="A71" s="54"/>
      <c r="B71" s="222"/>
      <c r="C71" s="54"/>
      <c r="D71" s="54"/>
      <c r="E71" s="54"/>
      <c r="F71" s="54"/>
      <c r="G71" s="193"/>
      <c r="H71" s="193"/>
      <c r="I71" s="193"/>
      <c r="J71" s="193"/>
      <c r="K71" s="193"/>
      <c r="L71" s="193"/>
      <c r="M71" s="193"/>
      <c r="R71" s="585"/>
    </row>
    <row r="72" spans="1:18" s="55" customFormat="1" x14ac:dyDescent="0.2">
      <c r="A72" s="58"/>
      <c r="B72" s="58"/>
      <c r="D72" s="58"/>
      <c r="E72" s="58"/>
      <c r="F72" s="58"/>
      <c r="G72" s="193"/>
      <c r="H72" s="193"/>
      <c r="I72" s="193"/>
      <c r="J72" s="193"/>
      <c r="K72" s="193"/>
      <c r="L72" s="193"/>
      <c r="M72" s="193"/>
      <c r="R72" s="585"/>
    </row>
    <row r="73" spans="1:18" s="55" customFormat="1" x14ac:dyDescent="0.2">
      <c r="A73" s="58"/>
      <c r="B73" s="58"/>
      <c r="D73" s="58"/>
      <c r="E73" s="58"/>
      <c r="F73" s="58"/>
      <c r="G73" s="193"/>
      <c r="H73" s="193"/>
      <c r="I73" s="193"/>
      <c r="J73" s="193"/>
      <c r="K73" s="193"/>
      <c r="L73" s="193"/>
      <c r="M73" s="193"/>
      <c r="R73" s="585"/>
    </row>
    <row r="74" spans="1:18" s="55" customFormat="1" x14ac:dyDescent="0.2">
      <c r="A74" s="54"/>
      <c r="B74" s="54"/>
      <c r="D74" s="58"/>
      <c r="E74" s="54"/>
      <c r="F74" s="54"/>
      <c r="G74" s="193"/>
      <c r="H74" s="193"/>
      <c r="I74" s="193"/>
      <c r="J74" s="193"/>
      <c r="K74" s="193"/>
      <c r="L74" s="193"/>
      <c r="M74" s="193"/>
      <c r="R74" s="585"/>
    </row>
    <row r="75" spans="1:18" s="55" customFormat="1" ht="23.25" x14ac:dyDescent="0.2">
      <c r="A75" s="54"/>
      <c r="B75" s="222"/>
      <c r="C75" s="54"/>
      <c r="D75" s="54"/>
      <c r="E75" s="54"/>
      <c r="F75" s="54"/>
      <c r="G75" s="196"/>
      <c r="H75" s="196"/>
      <c r="I75" s="196"/>
      <c r="J75" s="196"/>
      <c r="K75" s="196"/>
      <c r="L75" s="196"/>
      <c r="M75" s="196"/>
      <c r="R75" s="585"/>
    </row>
    <row r="76" spans="1:18" s="55" customFormat="1" x14ac:dyDescent="0.2">
      <c r="A76" s="54"/>
      <c r="B76" s="54"/>
      <c r="C76" s="54"/>
      <c r="D76" s="54"/>
      <c r="E76" s="54"/>
      <c r="F76" s="54"/>
      <c r="G76" s="193"/>
      <c r="H76" s="193"/>
      <c r="I76" s="193"/>
      <c r="J76" s="193"/>
      <c r="K76" s="193"/>
      <c r="L76" s="193"/>
      <c r="M76" s="193"/>
      <c r="R76" s="585"/>
    </row>
    <row r="77" spans="1:18" s="62" customFormat="1" ht="26.25" x14ac:dyDescent="0.2">
      <c r="A77" s="219"/>
      <c r="B77" s="219"/>
      <c r="C77" s="219"/>
      <c r="D77" s="219"/>
      <c r="E77" s="219"/>
      <c r="F77" s="219"/>
      <c r="G77" s="220"/>
      <c r="H77" s="196"/>
      <c r="I77" s="196"/>
      <c r="J77" s="196"/>
      <c r="K77" s="196"/>
      <c r="L77" s="196"/>
      <c r="M77" s="196"/>
      <c r="R77" s="586"/>
    </row>
    <row r="78" spans="1:18" x14ac:dyDescent="0.3">
      <c r="H78" s="227"/>
      <c r="I78" s="227"/>
      <c r="J78" s="227"/>
      <c r="K78" s="227"/>
      <c r="L78" s="227"/>
      <c r="M78" s="227"/>
    </row>
    <row r="79" spans="1:18" x14ac:dyDescent="0.3">
      <c r="H79" s="227"/>
      <c r="I79" s="227"/>
      <c r="J79" s="227"/>
      <c r="K79" s="227"/>
      <c r="L79" s="227"/>
      <c r="M79" s="227"/>
    </row>
    <row r="80" spans="1:18" x14ac:dyDescent="0.3">
      <c r="H80" s="227"/>
      <c r="I80" s="227"/>
      <c r="J80" s="227"/>
      <c r="K80" s="227"/>
      <c r="L80" s="227"/>
      <c r="M80" s="227"/>
    </row>
    <row r="81" spans="8:13" x14ac:dyDescent="0.3">
      <c r="H81" s="224"/>
      <c r="I81" s="224"/>
      <c r="J81" s="224"/>
      <c r="K81" s="224"/>
      <c r="L81" s="224"/>
      <c r="M81" s="224"/>
    </row>
  </sheetData>
  <mergeCells count="11">
    <mergeCell ref="J6:M6"/>
    <mergeCell ref="D35:F35"/>
    <mergeCell ref="D36:F36"/>
    <mergeCell ref="D37:F37"/>
    <mergeCell ref="D54:F54"/>
    <mergeCell ref="O8:P8"/>
    <mergeCell ref="D30:F30"/>
    <mergeCell ref="D31:F31"/>
    <mergeCell ref="D32:F32"/>
    <mergeCell ref="D34:F34"/>
    <mergeCell ref="C20:F20"/>
  </mergeCells>
  <pageMargins left="0.2" right="0" top="0.5" bottom="0.5" header="0.3" footer="0.3"/>
  <pageSetup scale="57"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I71"/>
  <sheetViews>
    <sheetView topLeftCell="A4" zoomScale="75" zoomScaleNormal="75" workbookViewId="0">
      <selection activeCell="T18" sqref="T18"/>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5.625" style="45" customWidth="1"/>
    <col min="7" max="7" width="22.25" style="190" hidden="1" customWidth="1"/>
    <col min="8" max="8" width="23.125" hidden="1" customWidth="1"/>
    <col min="9" max="9" width="1.625" hidden="1" customWidth="1"/>
    <col min="10" max="10" width="26.875" customWidth="1"/>
    <col min="11" max="11" width="24.5" hidden="1" customWidth="1"/>
    <col min="12" max="12" width="1.625" customWidth="1"/>
    <col min="13" max="13" width="23.125" customWidth="1"/>
    <col min="14" max="14" width="1.75" customWidth="1"/>
    <col min="15" max="15" width="15.25" bestFit="1" customWidth="1"/>
    <col min="16" max="16" width="10.625" customWidth="1"/>
    <col min="18" max="18" width="16.875" bestFit="1" customWidth="1"/>
    <col min="19" max="19" width="18.25" bestFit="1" customWidth="1"/>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61" ht="22.5" customHeight="1" x14ac:dyDescent="0.4">
      <c r="A1" s="46" t="s">
        <v>93</v>
      </c>
      <c r="B1" s="47"/>
      <c r="C1" s="48"/>
      <c r="D1" s="48"/>
      <c r="E1" s="48"/>
      <c r="F1" s="47"/>
      <c r="G1" s="191"/>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row>
    <row r="2" spans="1:61" ht="22.5" customHeight="1" x14ac:dyDescent="0.4">
      <c r="A2" s="46" t="s">
        <v>212</v>
      </c>
      <c r="B2" s="47"/>
      <c r="C2" s="48"/>
      <c r="D2" s="48"/>
      <c r="E2" s="48"/>
      <c r="F2" s="47"/>
      <c r="G2" s="191"/>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row>
    <row r="3" spans="1:61" ht="21.75" customHeight="1" x14ac:dyDescent="0.4">
      <c r="A3" s="46" t="s">
        <v>375</v>
      </c>
      <c r="B3" s="47"/>
      <c r="C3" s="48"/>
      <c r="D3" s="48"/>
      <c r="E3" s="48"/>
      <c r="F3" s="47"/>
      <c r="G3" s="191"/>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row>
    <row r="4" spans="1:61" ht="22.5" customHeight="1" x14ac:dyDescent="0.4">
      <c r="A4" s="46"/>
      <c r="B4" s="47"/>
      <c r="C4" s="48"/>
      <c r="D4" s="48"/>
      <c r="E4" s="48"/>
      <c r="F4" s="47"/>
      <c r="G4" s="191"/>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row>
    <row r="5" spans="1:61" s="50" customFormat="1" ht="8.25" customHeight="1" thickBot="1" x14ac:dyDescent="0.25">
      <c r="A5" s="49"/>
      <c r="B5" s="49"/>
      <c r="C5" s="49"/>
      <c r="D5" s="49"/>
      <c r="E5" s="49"/>
      <c r="F5" s="49"/>
      <c r="G5" s="192"/>
    </row>
    <row r="6" spans="1:61" s="53" customFormat="1" ht="24.75" customHeight="1" thickTop="1" thickBot="1" x14ac:dyDescent="0.25">
      <c r="A6" s="51" t="s">
        <v>107</v>
      </c>
      <c r="B6" s="51"/>
      <c r="C6" s="51"/>
      <c r="D6" s="51"/>
      <c r="E6" s="51"/>
      <c r="F6" s="51"/>
      <c r="G6" s="327"/>
      <c r="H6" s="199" t="s">
        <v>49</v>
      </c>
      <c r="I6" s="199"/>
      <c r="J6" s="787" t="s">
        <v>49</v>
      </c>
      <c r="K6" s="787"/>
      <c r="L6" s="787"/>
      <c r="M6" s="787"/>
      <c r="N6" s="52"/>
      <c r="O6" s="336" t="s">
        <v>180</v>
      </c>
      <c r="P6" s="333" t="s">
        <v>192</v>
      </c>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row>
    <row r="7" spans="1:61" s="55" customFormat="1" ht="8.25" customHeight="1" thickTop="1" x14ac:dyDescent="0.2">
      <c r="A7" s="54"/>
      <c r="B7" s="54"/>
      <c r="C7" s="54"/>
      <c r="D7" s="54"/>
      <c r="E7" s="54"/>
      <c r="F7" s="54"/>
      <c r="G7" s="193"/>
    </row>
    <row r="8" spans="1:61" ht="21" thickBot="1" x14ac:dyDescent="0.35">
      <c r="A8" s="56"/>
      <c r="B8" s="120" t="s">
        <v>99</v>
      </c>
      <c r="C8" s="120"/>
      <c r="D8" s="120"/>
      <c r="E8" s="120"/>
      <c r="F8" s="120"/>
      <c r="G8" s="231">
        <v>41090</v>
      </c>
      <c r="H8" s="231">
        <v>41274</v>
      </c>
      <c r="I8" s="271"/>
      <c r="J8" s="231">
        <v>43830</v>
      </c>
      <c r="K8" s="542">
        <f>'April''24 State of Activities'!H8</f>
        <v>45291</v>
      </c>
      <c r="L8" s="271"/>
      <c r="M8" s="231">
        <v>44196</v>
      </c>
      <c r="O8" s="852" t="s">
        <v>378</v>
      </c>
      <c r="P8" s="852"/>
    </row>
    <row r="9" spans="1:61" s="55" customFormat="1" ht="20.25" x14ac:dyDescent="0.2">
      <c r="A9" s="54"/>
      <c r="B9" s="54"/>
      <c r="C9" s="58" t="s">
        <v>149</v>
      </c>
      <c r="D9" s="58"/>
      <c r="E9" s="58"/>
      <c r="F9" s="54"/>
      <c r="G9" s="193">
        <v>127719</v>
      </c>
      <c r="H9" s="193">
        <v>67566.5</v>
      </c>
      <c r="I9" s="193"/>
      <c r="J9" s="202">
        <v>160000</v>
      </c>
      <c r="K9" s="202">
        <f>'April''24 State of Activities'!H10</f>
        <v>131259.47</v>
      </c>
      <c r="L9" s="202"/>
      <c r="M9" s="202">
        <v>160000</v>
      </c>
      <c r="O9" s="317">
        <f>M9-J9</f>
        <v>0</v>
      </c>
      <c r="P9" s="334">
        <f>O9/M9</f>
        <v>0</v>
      </c>
    </row>
    <row r="10" spans="1:61" s="55" customFormat="1" ht="20.25" x14ac:dyDescent="0.2">
      <c r="A10" s="54"/>
      <c r="B10" s="54"/>
      <c r="C10" s="58" t="s">
        <v>213</v>
      </c>
      <c r="D10" s="58"/>
      <c r="E10" s="58"/>
      <c r="F10" s="54"/>
      <c r="G10" s="202">
        <v>875436</v>
      </c>
      <c r="H10" s="202">
        <v>372424.1</v>
      </c>
      <c r="I10" s="202"/>
      <c r="J10" s="193">
        <v>5000</v>
      </c>
      <c r="K10" s="193">
        <f>10471.96+(5268.48+3381.01)*1.14</f>
        <v>20332.378599999996</v>
      </c>
      <c r="L10" s="202"/>
      <c r="M10" s="193">
        <v>10000</v>
      </c>
      <c r="O10" s="409">
        <f>M10-J10</f>
        <v>5000</v>
      </c>
      <c r="P10" s="354">
        <f>O10/M10</f>
        <v>0.5</v>
      </c>
    </row>
    <row r="11" spans="1:61" s="55" customFormat="1" ht="20.25" x14ac:dyDescent="0.2">
      <c r="A11" s="54"/>
      <c r="B11" s="54"/>
      <c r="C11" s="58" t="s">
        <v>101</v>
      </c>
      <c r="D11" s="58"/>
      <c r="E11" s="58"/>
      <c r="F11" s="54"/>
      <c r="G11" s="193"/>
      <c r="H11" s="193"/>
      <c r="I11" s="193"/>
      <c r="J11" s="193"/>
      <c r="K11" s="193"/>
      <c r="L11" s="193"/>
      <c r="M11" s="193"/>
      <c r="O11" s="409"/>
      <c r="P11" s="344"/>
    </row>
    <row r="12" spans="1:61" s="55" customFormat="1" ht="20.25" x14ac:dyDescent="0.2">
      <c r="A12" s="54"/>
      <c r="B12" s="54"/>
      <c r="D12" s="58" t="s">
        <v>214</v>
      </c>
      <c r="E12" s="58"/>
      <c r="F12" s="54"/>
      <c r="G12" s="193">
        <v>94235.25</v>
      </c>
      <c r="H12" s="193">
        <v>37190.379999999997</v>
      </c>
      <c r="I12" s="193"/>
      <c r="J12" s="193">
        <f>3708.33*12</f>
        <v>44499.96</v>
      </c>
      <c r="K12" s="193">
        <f>3541.67*12</f>
        <v>42500.04</v>
      </c>
      <c r="L12" s="193"/>
      <c r="M12" s="193">
        <v>44500</v>
      </c>
      <c r="O12" s="409">
        <f t="shared" ref="O12:O19" si="0">M12-J12</f>
        <v>4.0000000000873115E-2</v>
      </c>
      <c r="P12" s="354">
        <f t="shared" ref="P12:P18" si="1">O12/M12</f>
        <v>8.9887640451400261E-7</v>
      </c>
      <c r="R12" s="385"/>
      <c r="S12" s="386"/>
      <c r="T12" s="385"/>
      <c r="U12" s="385"/>
    </row>
    <row r="13" spans="1:61" s="55" customFormat="1" ht="20.25" x14ac:dyDescent="0.2">
      <c r="A13" s="54"/>
      <c r="B13" s="54"/>
      <c r="D13" s="58" t="s">
        <v>158</v>
      </c>
      <c r="E13" s="58"/>
      <c r="F13" s="54"/>
      <c r="G13" s="193"/>
      <c r="H13" s="193"/>
      <c r="I13" s="193"/>
      <c r="J13" s="193">
        <v>13000</v>
      </c>
      <c r="K13" s="193">
        <f>750*12</f>
        <v>9000</v>
      </c>
      <c r="L13" s="193"/>
      <c r="M13" s="193">
        <v>18000</v>
      </c>
      <c r="O13" s="409">
        <f t="shared" si="0"/>
        <v>5000</v>
      </c>
      <c r="P13" s="354">
        <f t="shared" si="1"/>
        <v>0.27777777777777779</v>
      </c>
      <c r="S13" s="318"/>
      <c r="T13" s="387"/>
      <c r="U13" s="304"/>
    </row>
    <row r="14" spans="1:61" s="55" customFormat="1" ht="20.25" x14ac:dyDescent="0.2">
      <c r="A14" s="54"/>
      <c r="B14" s="54"/>
      <c r="C14" s="58" t="s">
        <v>102</v>
      </c>
      <c r="D14" s="58"/>
      <c r="E14" s="58"/>
      <c r="F14" s="54"/>
      <c r="G14" s="193">
        <v>0</v>
      </c>
      <c r="H14" s="193">
        <v>3517</v>
      </c>
      <c r="I14" s="193"/>
      <c r="J14" s="193">
        <v>15000</v>
      </c>
      <c r="K14" s="193">
        <f>'April''24 State of Activities'!H18</f>
        <v>23822.38</v>
      </c>
      <c r="L14" s="193"/>
      <c r="M14" s="193">
        <v>20000</v>
      </c>
      <c r="O14" s="409">
        <f t="shared" si="0"/>
        <v>5000</v>
      </c>
      <c r="P14" s="354">
        <f t="shared" si="1"/>
        <v>0.25</v>
      </c>
      <c r="S14" s="318"/>
      <c r="T14" s="387"/>
      <c r="U14" s="304"/>
    </row>
    <row r="15" spans="1:61" s="55" customFormat="1" ht="20.25" x14ac:dyDescent="0.2">
      <c r="A15" s="54"/>
      <c r="B15" s="54"/>
      <c r="C15" s="58" t="s">
        <v>376</v>
      </c>
      <c r="D15" s="58"/>
      <c r="E15" s="58"/>
      <c r="F15" s="54"/>
      <c r="G15" s="193">
        <v>31459</v>
      </c>
      <c r="H15" s="193">
        <v>13920.35</v>
      </c>
      <c r="I15" s="193"/>
      <c r="J15" s="193">
        <v>25000</v>
      </c>
      <c r="K15" s="193">
        <v>25000</v>
      </c>
      <c r="L15" s="193"/>
      <c r="M15" s="193">
        <v>25000</v>
      </c>
      <c r="O15" s="409">
        <f t="shared" si="0"/>
        <v>0</v>
      </c>
      <c r="P15" s="354">
        <f t="shared" si="1"/>
        <v>0</v>
      </c>
      <c r="S15" s="318"/>
      <c r="T15" s="387"/>
      <c r="U15" s="304"/>
    </row>
    <row r="16" spans="1:61" s="55" customFormat="1" ht="20.25" x14ac:dyDescent="0.2">
      <c r="A16" s="54"/>
      <c r="B16" s="54"/>
      <c r="C16" s="58" t="s">
        <v>377</v>
      </c>
      <c r="D16" s="58"/>
      <c r="E16" s="58"/>
      <c r="F16" s="54"/>
      <c r="G16" s="193"/>
      <c r="H16" s="193"/>
      <c r="I16" s="193"/>
      <c r="J16" s="193">
        <v>20000</v>
      </c>
      <c r="K16" s="193"/>
      <c r="L16" s="193"/>
      <c r="M16" s="193">
        <v>15000</v>
      </c>
      <c r="O16" s="409">
        <f t="shared" si="0"/>
        <v>-5000</v>
      </c>
      <c r="P16" s="354">
        <f t="shared" si="1"/>
        <v>-0.33333333333333331</v>
      </c>
      <c r="S16" s="318"/>
      <c r="T16" s="387"/>
      <c r="U16" s="304"/>
    </row>
    <row r="17" spans="1:21" s="55" customFormat="1" ht="20.25" x14ac:dyDescent="0.2">
      <c r="A17" s="54"/>
      <c r="B17" s="54"/>
      <c r="C17" s="58" t="s">
        <v>333</v>
      </c>
      <c r="D17" s="58"/>
      <c r="E17" s="58"/>
      <c r="F17" s="54"/>
      <c r="G17" s="193"/>
      <c r="H17" s="193"/>
      <c r="I17" s="193"/>
      <c r="J17" s="193">
        <v>2000</v>
      </c>
      <c r="K17" s="193"/>
      <c r="L17" s="193"/>
      <c r="M17" s="193">
        <v>1000</v>
      </c>
      <c r="O17" s="409">
        <f t="shared" si="0"/>
        <v>-1000</v>
      </c>
      <c r="P17" s="354">
        <f t="shared" si="1"/>
        <v>-1</v>
      </c>
      <c r="S17" s="318"/>
      <c r="T17" s="387"/>
      <c r="U17" s="304"/>
    </row>
    <row r="18" spans="1:21" s="55" customFormat="1" ht="20.25" x14ac:dyDescent="0.2">
      <c r="A18" s="54"/>
      <c r="B18" s="54"/>
      <c r="C18" s="789" t="s">
        <v>336</v>
      </c>
      <c r="D18" s="789"/>
      <c r="E18" s="789"/>
      <c r="F18" s="789"/>
      <c r="G18" s="193"/>
      <c r="H18" s="193"/>
      <c r="I18" s="193"/>
      <c r="J18" s="193">
        <v>2000</v>
      </c>
      <c r="K18" s="193"/>
      <c r="L18" s="193"/>
      <c r="M18" s="193">
        <v>3000</v>
      </c>
      <c r="O18" s="409">
        <f t="shared" si="0"/>
        <v>1000</v>
      </c>
      <c r="P18" s="354">
        <f t="shared" si="1"/>
        <v>0.33333333333333331</v>
      </c>
      <c r="S18" s="318"/>
      <c r="T18" s="387"/>
      <c r="U18" s="304"/>
    </row>
    <row r="19" spans="1:21" s="55" customFormat="1" ht="20.25" x14ac:dyDescent="0.2">
      <c r="A19" s="54"/>
      <c r="B19" s="54"/>
      <c r="C19" s="58" t="s">
        <v>379</v>
      </c>
      <c r="D19" s="58"/>
      <c r="E19" s="58"/>
      <c r="F19" s="54"/>
      <c r="G19" s="193">
        <v>1125</v>
      </c>
      <c r="H19" s="193">
        <v>6050</v>
      </c>
      <c r="I19" s="193"/>
      <c r="J19" s="193">
        <v>2000</v>
      </c>
      <c r="K19" s="193" t="e">
        <f>'April''24 State of Activities'!#REF!</f>
        <v>#REF!</v>
      </c>
      <c r="L19" s="193"/>
      <c r="M19" s="193" t="e">
        <f>'April''24 State of Activities'!#REF!</f>
        <v>#REF!</v>
      </c>
      <c r="O19" s="409" t="e">
        <f t="shared" si="0"/>
        <v>#REF!</v>
      </c>
      <c r="P19" s="354"/>
    </row>
    <row r="20" spans="1:21" s="55" customFormat="1" ht="20.25" x14ac:dyDescent="0.2">
      <c r="A20" s="54"/>
      <c r="B20" s="54"/>
      <c r="C20" s="789" t="s">
        <v>334</v>
      </c>
      <c r="D20" s="789"/>
      <c r="E20" s="789"/>
      <c r="F20" s="789"/>
      <c r="G20" s="193"/>
      <c r="H20" s="193"/>
      <c r="I20" s="193"/>
      <c r="J20" s="193"/>
      <c r="K20" s="193">
        <v>659.25</v>
      </c>
      <c r="L20" s="193"/>
      <c r="M20" s="193"/>
      <c r="O20" s="409">
        <f>J20-M20</f>
        <v>0</v>
      </c>
      <c r="P20" s="354"/>
    </row>
    <row r="21" spans="1:21" s="55" customFormat="1" ht="21" thickBot="1" x14ac:dyDescent="0.25">
      <c r="A21" s="54"/>
      <c r="B21" s="54"/>
      <c r="C21" s="58" t="s">
        <v>216</v>
      </c>
      <c r="D21" s="58"/>
      <c r="E21" s="58"/>
      <c r="F21" s="54"/>
      <c r="G21" s="200">
        <v>31250</v>
      </c>
      <c r="H21" s="200">
        <v>15624.98</v>
      </c>
      <c r="I21" s="193"/>
      <c r="J21" s="200">
        <v>9315</v>
      </c>
      <c r="K21" s="200">
        <f>'April''24 State of Activities'!H26*0.2</f>
        <v>10548</v>
      </c>
      <c r="L21" s="193"/>
      <c r="M21" s="200">
        <v>9315</v>
      </c>
      <c r="O21" s="410">
        <f>J21-M21</f>
        <v>0</v>
      </c>
      <c r="P21" s="335">
        <v>0</v>
      </c>
    </row>
    <row r="22" spans="1:21" s="55" customFormat="1" ht="20.25" x14ac:dyDescent="0.2">
      <c r="A22" s="54"/>
      <c r="B22" s="54"/>
      <c r="C22" s="58"/>
      <c r="D22" s="54" t="s">
        <v>104</v>
      </c>
      <c r="E22" s="58"/>
      <c r="F22" s="54"/>
      <c r="G22" s="193">
        <v>1161224.25</v>
      </c>
      <c r="H22" s="193">
        <v>516293.30999999994</v>
      </c>
      <c r="I22" s="193"/>
      <c r="J22" s="193">
        <f>SUM(J9:J21)</f>
        <v>297814.95999999996</v>
      </c>
      <c r="K22" s="193" t="e">
        <f>SUM(K9:K21)</f>
        <v>#REF!</v>
      </c>
      <c r="L22" s="193"/>
      <c r="M22" s="193" t="e">
        <f>SUM(M9:M21)</f>
        <v>#REF!</v>
      </c>
      <c r="O22" s="225" t="e">
        <f>SUM(O9:O21)</f>
        <v>#REF!</v>
      </c>
      <c r="P22" s="354" t="e">
        <f>O22/M22</f>
        <v>#REF!</v>
      </c>
    </row>
    <row r="23" spans="1:21" s="55" customFormat="1" ht="21" thickBot="1" x14ac:dyDescent="0.25">
      <c r="A23" s="54"/>
      <c r="B23" s="54"/>
      <c r="C23" s="54" t="s">
        <v>217</v>
      </c>
      <c r="D23" s="58"/>
      <c r="E23" s="58"/>
      <c r="F23" s="54"/>
      <c r="G23" s="200">
        <v>150176</v>
      </c>
      <c r="H23" s="200">
        <v>47700.27</v>
      </c>
      <c r="I23" s="193"/>
      <c r="J23" s="193">
        <v>19000</v>
      </c>
      <c r="K23" s="193">
        <v>19000</v>
      </c>
      <c r="L23" s="193"/>
      <c r="M23" s="193">
        <v>19000</v>
      </c>
      <c r="O23" s="409">
        <f>J23-M23</f>
        <v>0</v>
      </c>
      <c r="P23" s="334">
        <f>O23/M23</f>
        <v>0</v>
      </c>
    </row>
    <row r="24" spans="1:21" s="55" customFormat="1" ht="21" thickBot="1" x14ac:dyDescent="0.25">
      <c r="A24" s="54"/>
      <c r="B24" s="54"/>
      <c r="C24" s="54" t="s">
        <v>218</v>
      </c>
      <c r="D24" s="58"/>
      <c r="E24" s="58"/>
      <c r="F24" s="54"/>
      <c r="G24" s="193"/>
      <c r="H24" s="193"/>
      <c r="I24" s="193"/>
      <c r="J24" s="200">
        <v>40000</v>
      </c>
      <c r="K24" s="200">
        <v>37641.19</v>
      </c>
      <c r="L24" s="193"/>
      <c r="M24" s="200">
        <v>38000</v>
      </c>
      <c r="O24" s="316">
        <f>M24-J24</f>
        <v>-2000</v>
      </c>
      <c r="P24" s="380">
        <f>O24/M24</f>
        <v>-5.2631578947368418E-2</v>
      </c>
    </row>
    <row r="25" spans="1:21" s="55" customFormat="1" ht="20.25" x14ac:dyDescent="0.2">
      <c r="A25" s="54"/>
      <c r="B25" s="54"/>
      <c r="C25" s="58"/>
      <c r="D25" s="54" t="s">
        <v>106</v>
      </c>
      <c r="E25" s="58"/>
      <c r="F25" s="54"/>
      <c r="G25" s="193">
        <v>1311400.25</v>
      </c>
      <c r="H25" s="193">
        <v>563993.57999999996</v>
      </c>
      <c r="I25" s="193"/>
      <c r="J25" s="193">
        <f>SUM(J22:J24)</f>
        <v>356814.95999999996</v>
      </c>
      <c r="K25" s="193" t="e">
        <f>SUM(K22:K24)</f>
        <v>#REF!</v>
      </c>
      <c r="L25" s="193"/>
      <c r="M25" s="193" t="e">
        <f>SUM(M22:M24)</f>
        <v>#REF!</v>
      </c>
      <c r="O25" s="225" t="e">
        <f>M25-J25</f>
        <v>#REF!</v>
      </c>
      <c r="P25" s="354" t="e">
        <f>O25/M25</f>
        <v>#REF!</v>
      </c>
    </row>
    <row r="26" spans="1:21" s="55" customFormat="1" ht="20.25" x14ac:dyDescent="0.2">
      <c r="A26" s="54"/>
      <c r="B26" s="54"/>
      <c r="C26" s="58"/>
      <c r="D26" s="54"/>
      <c r="E26" s="58"/>
      <c r="F26" s="54"/>
      <c r="G26" s="193"/>
      <c r="H26" s="193"/>
      <c r="I26" s="193"/>
      <c r="J26" s="193"/>
      <c r="K26" s="193"/>
      <c r="L26" s="193"/>
      <c r="M26" s="193"/>
    </row>
    <row r="27" spans="1:21" s="55" customFormat="1" ht="21" thickBot="1" x14ac:dyDescent="0.25">
      <c r="A27" s="54"/>
      <c r="B27" s="66" t="s">
        <v>110</v>
      </c>
      <c r="C27" s="66"/>
      <c r="D27" s="66"/>
      <c r="E27" s="66"/>
      <c r="F27" s="66"/>
      <c r="G27" s="200"/>
      <c r="J27" s="193"/>
    </row>
    <row r="28" spans="1:21" s="55" customFormat="1" ht="20.25" x14ac:dyDescent="0.2">
      <c r="A28" s="54"/>
      <c r="B28" s="54"/>
      <c r="C28" s="58" t="s">
        <v>219</v>
      </c>
      <c r="D28" s="58"/>
      <c r="E28" s="58"/>
      <c r="F28" s="58"/>
      <c r="G28" s="193">
        <v>733747.79999999993</v>
      </c>
      <c r="H28" s="225">
        <v>361976</v>
      </c>
      <c r="I28" s="225"/>
      <c r="J28" s="193"/>
      <c r="K28" s="225"/>
      <c r="L28" s="225"/>
      <c r="M28" s="225"/>
    </row>
    <row r="29" spans="1:21" s="55" customFormat="1" ht="20.25" x14ac:dyDescent="0.2">
      <c r="A29" s="54"/>
      <c r="B29" s="54"/>
      <c r="C29" s="58"/>
      <c r="D29" s="789" t="s">
        <v>220</v>
      </c>
      <c r="E29" s="789"/>
      <c r="F29" s="789"/>
      <c r="G29" s="193"/>
      <c r="H29" s="225"/>
      <c r="I29" s="225"/>
      <c r="J29" s="409">
        <f>110984.34+54648</f>
        <v>165632.34</v>
      </c>
      <c r="K29" s="409">
        <v>146508.01999999999</v>
      </c>
      <c r="L29" s="409"/>
      <c r="M29" s="409">
        <v>170000</v>
      </c>
      <c r="O29" s="409">
        <f t="shared" ref="O29:O47" si="2">M29-J29</f>
        <v>4367.6600000000035</v>
      </c>
      <c r="P29" s="354">
        <f>O29/M29</f>
        <v>2.5692117647058844E-2</v>
      </c>
    </row>
    <row r="30" spans="1:21" s="55" customFormat="1" ht="20.25" x14ac:dyDescent="0.2">
      <c r="A30" s="54"/>
      <c r="B30" s="54"/>
      <c r="C30" s="58"/>
      <c r="D30" s="789" t="s">
        <v>221</v>
      </c>
      <c r="E30" s="789"/>
      <c r="F30" s="789"/>
      <c r="G30" s="193"/>
      <c r="H30" s="225"/>
      <c r="I30" s="225"/>
      <c r="J30" s="409">
        <v>63684</v>
      </c>
      <c r="K30" s="409">
        <f>35778.69+23251.49+605.09+292.95</f>
        <v>59928.22</v>
      </c>
      <c r="L30" s="409"/>
      <c r="M30" s="409">
        <f>(22.5*(64*26+100))+(19.06*(50*26+100))</f>
        <v>66374</v>
      </c>
      <c r="O30" s="409">
        <f t="shared" si="2"/>
        <v>2690</v>
      </c>
      <c r="P30" s="354">
        <f>O30/M30</f>
        <v>4.0527917558079968E-2</v>
      </c>
      <c r="R30" s="204"/>
    </row>
    <row r="31" spans="1:21" s="55" customFormat="1" ht="20.25" x14ac:dyDescent="0.2">
      <c r="A31" s="54"/>
      <c r="B31" s="54"/>
      <c r="C31" s="58"/>
      <c r="D31" s="789" t="s">
        <v>112</v>
      </c>
      <c r="E31" s="789"/>
      <c r="F31" s="789"/>
      <c r="G31" s="193"/>
      <c r="H31" s="225"/>
      <c r="I31" s="225"/>
      <c r="J31" s="409">
        <f>(J29+J30)*0.185</f>
        <v>42423.522899999996</v>
      </c>
      <c r="K31" s="409">
        <f>(K29+K30)*0.192</f>
        <v>39635.75808</v>
      </c>
      <c r="L31" s="409"/>
      <c r="M31" s="409">
        <f>(M29+M30)*0.185</f>
        <v>43729.19</v>
      </c>
      <c r="O31" s="409">
        <f t="shared" si="2"/>
        <v>1305.667100000006</v>
      </c>
      <c r="P31" s="354">
        <f>O31/M31</f>
        <v>2.9858021609821858E-2</v>
      </c>
    </row>
    <row r="32" spans="1:21" s="55" customFormat="1" ht="20.25" x14ac:dyDescent="0.2">
      <c r="A32" s="54"/>
      <c r="B32" s="54"/>
      <c r="C32" s="58" t="s">
        <v>277</v>
      </c>
      <c r="D32" s="58"/>
      <c r="E32" s="58"/>
      <c r="F32" s="58"/>
      <c r="G32" s="193">
        <v>44745.18</v>
      </c>
      <c r="H32" s="193">
        <v>20974.21</v>
      </c>
      <c r="I32" s="193"/>
      <c r="J32" s="409"/>
      <c r="K32" s="564"/>
      <c r="L32" s="409"/>
      <c r="M32" s="409"/>
      <c r="O32" s="409">
        <f t="shared" si="2"/>
        <v>0</v>
      </c>
      <c r="P32" s="354"/>
    </row>
    <row r="33" spans="1:16" s="55" customFormat="1" ht="20.25" x14ac:dyDescent="0.2">
      <c r="A33" s="54"/>
      <c r="B33" s="54"/>
      <c r="C33" s="58"/>
      <c r="D33" s="789" t="s">
        <v>222</v>
      </c>
      <c r="E33" s="789"/>
      <c r="F33" s="789"/>
      <c r="G33" s="193"/>
      <c r="H33" s="193"/>
      <c r="I33" s="193"/>
      <c r="J33" s="409">
        <f>17368.36/8*12</f>
        <v>26052.54</v>
      </c>
      <c r="K33" s="409">
        <v>27183.82</v>
      </c>
      <c r="L33" s="409"/>
      <c r="M33" s="409">
        <v>27500</v>
      </c>
      <c r="O33" s="409">
        <f t="shared" si="2"/>
        <v>1447.4599999999991</v>
      </c>
      <c r="P33" s="354">
        <f t="shared" ref="P33:P40" si="3">O33/M33</f>
        <v>5.2634909090909059E-2</v>
      </c>
    </row>
    <row r="34" spans="1:16" s="55" customFormat="1" ht="20.25" x14ac:dyDescent="0.2">
      <c r="A34" s="54"/>
      <c r="B34" s="54"/>
      <c r="C34" s="58"/>
      <c r="D34" s="789" t="s">
        <v>223</v>
      </c>
      <c r="E34" s="789"/>
      <c r="F34" s="789"/>
      <c r="G34" s="193"/>
      <c r="H34" s="193"/>
      <c r="I34" s="193"/>
      <c r="J34" s="409">
        <f>12089.81/8*12+800-400</f>
        <v>18534.715</v>
      </c>
      <c r="K34" s="409">
        <v>15510.83</v>
      </c>
      <c r="L34" s="409"/>
      <c r="M34" s="409">
        <v>19374</v>
      </c>
      <c r="O34" s="409">
        <f t="shared" si="2"/>
        <v>839.28499999999985</v>
      </c>
      <c r="P34" s="354">
        <f t="shared" si="3"/>
        <v>4.3320171363683282E-2</v>
      </c>
    </row>
    <row r="35" spans="1:16" s="55" customFormat="1" ht="20.25" x14ac:dyDescent="0.2">
      <c r="A35" s="54"/>
      <c r="B35" s="54"/>
      <c r="C35" s="58"/>
      <c r="D35" s="789" t="s">
        <v>303</v>
      </c>
      <c r="E35" s="789"/>
      <c r="F35" s="789"/>
      <c r="G35" s="193"/>
      <c r="H35" s="193"/>
      <c r="I35" s="193"/>
      <c r="J35" s="409">
        <f>10143.6/8*12</f>
        <v>15215.400000000001</v>
      </c>
      <c r="K35" s="409">
        <v>12450.36</v>
      </c>
      <c r="L35" s="409"/>
      <c r="M35" s="409">
        <v>15000</v>
      </c>
      <c r="O35" s="409">
        <f t="shared" si="2"/>
        <v>-215.40000000000146</v>
      </c>
      <c r="P35" s="354">
        <f t="shared" si="3"/>
        <v>-1.4360000000000097E-2</v>
      </c>
    </row>
    <row r="36" spans="1:16" s="55" customFormat="1" ht="20.25" x14ac:dyDescent="0.2">
      <c r="A36" s="54"/>
      <c r="B36" s="54"/>
      <c r="C36" s="58"/>
      <c r="D36" s="789" t="s">
        <v>224</v>
      </c>
      <c r="E36" s="789"/>
      <c r="F36" s="789"/>
      <c r="G36" s="193"/>
      <c r="H36" s="193"/>
      <c r="I36" s="193"/>
      <c r="J36" s="409">
        <v>513.5</v>
      </c>
      <c r="K36" s="409">
        <v>377</v>
      </c>
      <c r="L36" s="409"/>
      <c r="M36" s="409">
        <v>250</v>
      </c>
      <c r="O36" s="409">
        <f t="shared" si="2"/>
        <v>-263.5</v>
      </c>
      <c r="P36" s="354">
        <f t="shared" si="3"/>
        <v>-1.054</v>
      </c>
    </row>
    <row r="37" spans="1:16" s="55" customFormat="1" ht="20.25" x14ac:dyDescent="0.2">
      <c r="A37" s="54"/>
      <c r="B37" s="54"/>
      <c r="C37" s="58" t="s">
        <v>225</v>
      </c>
      <c r="D37" s="58"/>
      <c r="E37" s="58"/>
      <c r="F37" s="58"/>
      <c r="G37" s="193">
        <v>27200</v>
      </c>
      <c r="H37" s="193">
        <v>11327</v>
      </c>
      <c r="I37" s="193"/>
      <c r="J37" s="409">
        <f>22772+1411</f>
        <v>24183</v>
      </c>
      <c r="K37" s="409">
        <v>25080</v>
      </c>
      <c r="L37" s="409"/>
      <c r="M37" s="409">
        <f>20430+6774</f>
        <v>27204</v>
      </c>
      <c r="O37" s="409">
        <f t="shared" si="2"/>
        <v>3021</v>
      </c>
      <c r="P37" s="354">
        <f t="shared" si="3"/>
        <v>0.11104984561093957</v>
      </c>
    </row>
    <row r="38" spans="1:16" s="55" customFormat="1" ht="20.25" x14ac:dyDescent="0.2">
      <c r="A38" s="54"/>
      <c r="B38" s="54"/>
      <c r="C38" s="58" t="s">
        <v>103</v>
      </c>
      <c r="D38" s="58"/>
      <c r="E38" s="58"/>
      <c r="F38" s="58"/>
      <c r="G38" s="193">
        <v>150176</v>
      </c>
      <c r="H38" s="225">
        <v>47700.27</v>
      </c>
      <c r="I38" s="225"/>
      <c r="J38" s="409">
        <f>J21</f>
        <v>9315</v>
      </c>
      <c r="K38" s="409">
        <f>K21</f>
        <v>10548</v>
      </c>
      <c r="L38" s="409"/>
      <c r="M38" s="409">
        <f>M21</f>
        <v>9315</v>
      </c>
      <c r="O38" s="409">
        <f t="shared" si="2"/>
        <v>0</v>
      </c>
      <c r="P38" s="354">
        <f t="shared" si="3"/>
        <v>0</v>
      </c>
    </row>
    <row r="39" spans="1:16" s="55" customFormat="1" ht="20.25" x14ac:dyDescent="0.2">
      <c r="A39" s="54"/>
      <c r="B39" s="54"/>
      <c r="C39" s="58" t="s">
        <v>312</v>
      </c>
      <c r="D39" s="58"/>
      <c r="E39" s="58"/>
      <c r="F39" s="58"/>
      <c r="G39" s="193"/>
      <c r="H39" s="225"/>
      <c r="I39" s="225"/>
      <c r="J39" s="409">
        <f>2845+(332.08+24.92)*4</f>
        <v>4273</v>
      </c>
      <c r="K39" s="409">
        <v>4075</v>
      </c>
      <c r="L39" s="409"/>
      <c r="M39" s="409">
        <f>360*12</f>
        <v>4320</v>
      </c>
      <c r="O39" s="409">
        <f t="shared" si="2"/>
        <v>47</v>
      </c>
      <c r="P39" s="354">
        <f t="shared" si="3"/>
        <v>1.087962962962963E-2</v>
      </c>
    </row>
    <row r="40" spans="1:16" s="55" customFormat="1" ht="20.25" x14ac:dyDescent="0.2">
      <c r="A40" s="54"/>
      <c r="B40" s="54"/>
      <c r="C40" s="58" t="s">
        <v>226</v>
      </c>
      <c r="D40" s="58"/>
      <c r="E40" s="58"/>
      <c r="F40" s="58"/>
      <c r="G40" s="193"/>
      <c r="H40" s="225"/>
      <c r="I40" s="225"/>
      <c r="J40" s="409">
        <f>393+75</f>
        <v>468</v>
      </c>
      <c r="K40" s="409">
        <v>1496.32</v>
      </c>
      <c r="L40" s="409"/>
      <c r="M40" s="409">
        <v>500</v>
      </c>
      <c r="O40" s="409">
        <f t="shared" si="2"/>
        <v>32</v>
      </c>
      <c r="P40" s="354">
        <f t="shared" si="3"/>
        <v>6.4000000000000001E-2</v>
      </c>
    </row>
    <row r="41" spans="1:16" s="55" customFormat="1" ht="20.25" x14ac:dyDescent="0.2">
      <c r="A41" s="54"/>
      <c r="B41" s="54"/>
      <c r="C41" s="58" t="s">
        <v>380</v>
      </c>
      <c r="D41" s="58"/>
      <c r="E41" s="58"/>
      <c r="F41" s="58"/>
      <c r="G41" s="193">
        <v>10993.12</v>
      </c>
      <c r="H41" s="225">
        <v>4904.57</v>
      </c>
      <c r="I41" s="225"/>
      <c r="J41" s="409">
        <f>2414+307*4</f>
        <v>3642</v>
      </c>
      <c r="K41" s="409">
        <v>3429.9</v>
      </c>
      <c r="L41" s="409"/>
      <c r="M41" s="409">
        <f>307*12</f>
        <v>3684</v>
      </c>
      <c r="O41" s="409">
        <f t="shared" si="2"/>
        <v>42</v>
      </c>
      <c r="P41" s="354">
        <f>O41/M41</f>
        <v>1.1400651465798045E-2</v>
      </c>
    </row>
    <row r="42" spans="1:16" s="55" customFormat="1" ht="20.25" x14ac:dyDescent="0.2">
      <c r="A42" s="54"/>
      <c r="B42" s="54"/>
      <c r="C42" s="58" t="s">
        <v>227</v>
      </c>
      <c r="D42" s="58"/>
      <c r="E42" s="58"/>
      <c r="F42" s="58"/>
      <c r="G42" s="193">
        <v>10250.949999999999</v>
      </c>
      <c r="H42" s="225">
        <v>3982.99</v>
      </c>
      <c r="I42" s="225"/>
      <c r="J42" s="409">
        <v>600</v>
      </c>
      <c r="K42" s="409">
        <f>56.6+402.81</f>
        <v>459.41</v>
      </c>
      <c r="L42" s="409"/>
      <c r="M42" s="409">
        <v>600</v>
      </c>
      <c r="O42" s="409">
        <f t="shared" si="2"/>
        <v>0</v>
      </c>
      <c r="P42" s="354">
        <f>O42/M42</f>
        <v>0</v>
      </c>
    </row>
    <row r="43" spans="1:16" s="55" customFormat="1" ht="20.25" x14ac:dyDescent="0.2">
      <c r="A43" s="54"/>
      <c r="B43" s="54"/>
      <c r="C43" s="58" t="s">
        <v>121</v>
      </c>
      <c r="D43" s="58"/>
      <c r="E43" s="58"/>
      <c r="F43" s="58"/>
      <c r="G43" s="193">
        <v>4412.53</v>
      </c>
      <c r="H43" s="226">
        <v>5667</v>
      </c>
      <c r="I43" s="226"/>
      <c r="J43" s="409">
        <f>122.96+1237.38+391.65</f>
        <v>1751.9900000000002</v>
      </c>
      <c r="K43" s="409">
        <v>1040.8800000000001</v>
      </c>
      <c r="L43" s="565"/>
      <c r="M43" s="565">
        <f>394*4</f>
        <v>1576</v>
      </c>
      <c r="O43" s="409">
        <f t="shared" si="2"/>
        <v>-175.99000000000024</v>
      </c>
      <c r="P43" s="354">
        <f>O43/M43</f>
        <v>-0.11166878172588847</v>
      </c>
    </row>
    <row r="44" spans="1:16" s="55" customFormat="1" ht="20.25" x14ac:dyDescent="0.2">
      <c r="A44" s="54"/>
      <c r="B44" s="54"/>
      <c r="C44" s="58" t="s">
        <v>119</v>
      </c>
      <c r="D44" s="58"/>
      <c r="E44" s="58"/>
      <c r="F44" s="58"/>
      <c r="G44" s="193">
        <v>7901</v>
      </c>
      <c r="H44" s="225">
        <v>4149.6000000000004</v>
      </c>
      <c r="I44" s="225"/>
      <c r="J44" s="409">
        <f>367.55/8*12</f>
        <v>551.32500000000005</v>
      </c>
      <c r="K44" s="409">
        <v>436.35</v>
      </c>
      <c r="L44" s="409"/>
      <c r="M44" s="409">
        <v>600</v>
      </c>
      <c r="O44" s="409">
        <f t="shared" si="2"/>
        <v>48.674999999999955</v>
      </c>
      <c r="P44" s="354">
        <f>O44/M44</f>
        <v>8.1124999999999919E-2</v>
      </c>
    </row>
    <row r="45" spans="1:16" s="55" customFormat="1" ht="20.25" hidden="1" x14ac:dyDescent="0.2">
      <c r="A45" s="54"/>
      <c r="B45" s="54"/>
      <c r="C45" s="58" t="s">
        <v>228</v>
      </c>
      <c r="D45" s="58"/>
      <c r="E45" s="58"/>
      <c r="F45" s="58"/>
      <c r="G45" s="193"/>
      <c r="H45" s="225"/>
      <c r="I45" s="225"/>
      <c r="J45" s="409"/>
      <c r="K45" s="409"/>
      <c r="L45" s="409"/>
      <c r="M45" s="409">
        <v>0</v>
      </c>
      <c r="O45" s="409">
        <f t="shared" si="2"/>
        <v>0</v>
      </c>
      <c r="P45" s="354"/>
    </row>
    <row r="46" spans="1:16" s="55" customFormat="1" ht="20.25" x14ac:dyDescent="0.2">
      <c r="A46" s="58"/>
      <c r="B46" s="58"/>
      <c r="C46" s="58" t="s">
        <v>115</v>
      </c>
      <c r="D46" s="58"/>
      <c r="E46" s="58"/>
      <c r="F46" s="58"/>
      <c r="G46" s="193">
        <v>5428.37</v>
      </c>
      <c r="H46" s="225">
        <v>2024.52</v>
      </c>
      <c r="I46" s="225"/>
      <c r="J46" s="409">
        <f>208.6/8*12</f>
        <v>312.89999999999998</v>
      </c>
      <c r="K46" s="409">
        <v>205.44</v>
      </c>
      <c r="L46" s="409"/>
      <c r="M46" s="409">
        <v>320</v>
      </c>
      <c r="O46" s="409">
        <f t="shared" si="2"/>
        <v>7.1000000000000227</v>
      </c>
      <c r="P46" s="354">
        <f>O46/M46</f>
        <v>2.2187500000000072E-2</v>
      </c>
    </row>
    <row r="47" spans="1:16" s="55" customFormat="1" ht="20.25" x14ac:dyDescent="0.2">
      <c r="A47" s="58"/>
      <c r="B47" s="58"/>
      <c r="C47" s="58" t="s">
        <v>229</v>
      </c>
      <c r="D47" s="58"/>
      <c r="E47" s="58"/>
      <c r="F47" s="58"/>
      <c r="G47" s="193">
        <v>83462.91</v>
      </c>
      <c r="H47" s="193">
        <v>18995.71</v>
      </c>
      <c r="I47" s="193"/>
      <c r="J47" s="412">
        <v>200</v>
      </c>
      <c r="K47" s="412">
        <f>201.52+30+216.21+94.56</f>
        <v>542.29</v>
      </c>
      <c r="L47" s="409"/>
      <c r="M47" s="409">
        <v>225</v>
      </c>
      <c r="O47" s="409">
        <f t="shared" si="2"/>
        <v>25</v>
      </c>
      <c r="P47" s="411">
        <f>O47/M47</f>
        <v>0.1111111111111111</v>
      </c>
    </row>
    <row r="48" spans="1:16" s="55" customFormat="1" ht="21" thickBot="1" x14ac:dyDescent="0.25">
      <c r="A48" s="54"/>
      <c r="B48" s="54"/>
      <c r="C48" s="54"/>
      <c r="D48" s="54" t="s">
        <v>127</v>
      </c>
      <c r="E48" s="54"/>
      <c r="F48" s="54"/>
      <c r="G48" s="200">
        <v>1078317.8599999999</v>
      </c>
      <c r="H48" s="200">
        <v>481701.87000000005</v>
      </c>
      <c r="I48" s="193"/>
      <c r="J48" s="382">
        <f>SUM(J29:J47)</f>
        <v>377353.23290000006</v>
      </c>
      <c r="K48" s="382">
        <f>SUM(K29:K47)</f>
        <v>348907.59807999997</v>
      </c>
      <c r="L48" s="193"/>
      <c r="M48" s="382">
        <f>SUM(M29:M47)</f>
        <v>390571.19</v>
      </c>
      <c r="O48" s="382">
        <f>J48-M48</f>
        <v>-13217.957099999941</v>
      </c>
      <c r="P48" s="380">
        <f>O48/M48</f>
        <v>-3.384263212040791E-2</v>
      </c>
    </row>
    <row r="49" spans="1:19" s="55" customFormat="1" ht="21" thickBot="1" x14ac:dyDescent="0.25">
      <c r="A49" s="54"/>
      <c r="B49" s="54"/>
      <c r="C49" s="54"/>
      <c r="D49" s="54" t="s">
        <v>128</v>
      </c>
      <c r="E49" s="54"/>
      <c r="F49" s="54"/>
      <c r="G49" s="200">
        <v>233082.39000000013</v>
      </c>
      <c r="H49" s="200">
        <v>82291.709999999905</v>
      </c>
      <c r="I49" s="193"/>
      <c r="J49" s="383">
        <f>J25-J48</f>
        <v>-20538.272900000098</v>
      </c>
      <c r="K49" s="383" t="e">
        <f>K25-K48</f>
        <v>#REF!</v>
      </c>
      <c r="L49" s="193"/>
      <c r="M49" s="383" t="e">
        <f>M25-M48</f>
        <v>#REF!</v>
      </c>
      <c r="O49" s="316" t="e">
        <f>M49-J49</f>
        <v>#REF!</v>
      </c>
      <c r="P49" s="380" t="e">
        <f>O49/M49</f>
        <v>#REF!</v>
      </c>
    </row>
    <row r="50" spans="1:19" s="55" customFormat="1" ht="20.25" x14ac:dyDescent="0.2">
      <c r="A50" s="54"/>
      <c r="B50" s="54"/>
      <c r="C50" s="54"/>
      <c r="D50" s="54"/>
      <c r="E50" s="54"/>
      <c r="F50" s="54"/>
      <c r="G50" s="193"/>
      <c r="H50" s="193"/>
      <c r="I50" s="193"/>
      <c r="J50" s="193"/>
      <c r="K50" s="193"/>
      <c r="L50" s="193"/>
      <c r="M50" s="193"/>
    </row>
    <row r="51" spans="1:19" s="52" customFormat="1" ht="26.25" x14ac:dyDescent="0.2">
      <c r="A51" s="219"/>
      <c r="B51" s="219"/>
      <c r="C51" s="58" t="s">
        <v>264</v>
      </c>
      <c r="E51" s="58"/>
      <c r="F51" s="58"/>
      <c r="G51" s="221"/>
      <c r="H51" s="193"/>
      <c r="I51" s="193"/>
      <c r="J51" s="193">
        <f>-23415.22-24000</f>
        <v>-47415.22</v>
      </c>
      <c r="K51" s="193">
        <v>-44886</v>
      </c>
      <c r="L51" s="193"/>
      <c r="M51" s="193"/>
      <c r="O51" s="225">
        <f>M51-J51</f>
        <v>47415.22</v>
      </c>
      <c r="P51" s="334"/>
      <c r="S51" s="563"/>
    </row>
    <row r="52" spans="1:19" s="55" customFormat="1" ht="20.25" x14ac:dyDescent="0.2">
      <c r="A52" s="54"/>
      <c r="B52" s="54"/>
      <c r="C52" s="58" t="s">
        <v>230</v>
      </c>
      <c r="E52" s="54"/>
      <c r="G52" s="193"/>
      <c r="H52" s="193"/>
      <c r="I52" s="193"/>
      <c r="J52" s="193">
        <f>J37</f>
        <v>24183</v>
      </c>
      <c r="K52" s="193">
        <f>K37</f>
        <v>25080</v>
      </c>
      <c r="L52" s="193"/>
      <c r="M52" s="193">
        <f>M37</f>
        <v>27204</v>
      </c>
      <c r="O52" s="225">
        <f>M52-J52</f>
        <v>3021</v>
      </c>
      <c r="P52" s="334">
        <v>3.5414486921529216E-2</v>
      </c>
    </row>
    <row r="53" spans="1:19" s="55" customFormat="1" ht="24" thickBot="1" x14ac:dyDescent="0.25">
      <c r="A53" s="54"/>
      <c r="B53" s="222"/>
      <c r="C53" s="54"/>
      <c r="D53" s="792" t="s">
        <v>231</v>
      </c>
      <c r="E53" s="792"/>
      <c r="F53" s="792"/>
      <c r="G53" s="193"/>
      <c r="H53" s="193"/>
      <c r="I53" s="193"/>
      <c r="J53" s="384">
        <f>J49+J51+J52</f>
        <v>-43770.492900000099</v>
      </c>
      <c r="K53" s="384" t="e">
        <f>K49+K51+K52</f>
        <v>#REF!</v>
      </c>
      <c r="L53" s="202"/>
      <c r="M53" s="384" t="e">
        <f>M49+M51+M52</f>
        <v>#REF!</v>
      </c>
      <c r="N53" s="318"/>
      <c r="O53" s="381" t="e">
        <f>M53-J53</f>
        <v>#REF!</v>
      </c>
      <c r="P53" s="407">
        <v>2.1062768618503362E-2</v>
      </c>
    </row>
    <row r="54" spans="1:19" s="55" customFormat="1" ht="42" customHeight="1" thickTop="1" x14ac:dyDescent="0.2">
      <c r="A54" s="54"/>
      <c r="B54" s="54"/>
      <c r="C54" s="54"/>
      <c r="D54" s="54"/>
      <c r="E54" s="54"/>
      <c r="F54" s="54"/>
      <c r="G54" s="193"/>
      <c r="H54" s="193"/>
      <c r="I54" s="193"/>
      <c r="J54" s="193"/>
      <c r="K54" s="193"/>
      <c r="L54" s="193"/>
      <c r="M54" s="193"/>
    </row>
    <row r="55" spans="1:19" s="55" customFormat="1" ht="20.25" x14ac:dyDescent="0.2">
      <c r="A55" s="58"/>
      <c r="B55" s="58"/>
      <c r="C55" s="58"/>
      <c r="D55" s="58"/>
      <c r="E55" s="58"/>
      <c r="F55" s="58"/>
      <c r="G55" s="193"/>
      <c r="H55" s="193"/>
      <c r="I55" s="193"/>
      <c r="J55" s="193"/>
      <c r="K55" s="193"/>
      <c r="L55" s="193"/>
      <c r="M55" s="193"/>
    </row>
    <row r="56" spans="1:19" s="55" customFormat="1" ht="20.25" x14ac:dyDescent="0.2">
      <c r="A56" s="58"/>
      <c r="B56" s="58"/>
      <c r="C56" s="58"/>
      <c r="D56" s="58"/>
      <c r="E56" s="58"/>
      <c r="F56" s="58"/>
      <c r="G56" s="193"/>
      <c r="H56" s="193"/>
      <c r="I56" s="193"/>
      <c r="J56" s="193"/>
      <c r="K56" s="193"/>
      <c r="L56" s="193"/>
      <c r="M56" s="193"/>
    </row>
    <row r="57" spans="1:19" s="55" customFormat="1" ht="20.25" x14ac:dyDescent="0.2">
      <c r="A57" s="58"/>
      <c r="B57" s="58"/>
      <c r="C57" s="54"/>
      <c r="D57" s="58"/>
      <c r="F57" s="58"/>
      <c r="G57" s="193"/>
      <c r="H57" s="193"/>
      <c r="I57" s="193"/>
      <c r="J57" s="193"/>
      <c r="K57" s="193"/>
      <c r="L57" s="193"/>
      <c r="M57" s="193"/>
    </row>
    <row r="58" spans="1:19" s="55" customFormat="1" ht="20.25" x14ac:dyDescent="0.2">
      <c r="A58" s="58"/>
      <c r="B58" s="58"/>
      <c r="C58" s="58"/>
      <c r="D58" s="58"/>
      <c r="E58" s="58"/>
      <c r="F58" s="58"/>
      <c r="G58" s="193"/>
      <c r="H58" s="193"/>
      <c r="I58" s="193"/>
      <c r="J58" s="193"/>
      <c r="K58" s="193"/>
      <c r="L58" s="193"/>
      <c r="M58" s="193"/>
    </row>
    <row r="59" spans="1:19" s="55" customFormat="1" ht="20.25" x14ac:dyDescent="0.2">
      <c r="A59" s="54"/>
      <c r="B59" s="54"/>
      <c r="C59" s="54"/>
      <c r="D59" s="54"/>
      <c r="E59" s="54"/>
      <c r="F59" s="54"/>
      <c r="G59" s="196"/>
      <c r="H59" s="196"/>
      <c r="I59" s="196"/>
      <c r="J59" s="196"/>
      <c r="K59" s="196"/>
      <c r="L59" s="196"/>
      <c r="M59" s="196"/>
    </row>
    <row r="60" spans="1:19" s="55" customFormat="1" ht="20.25" x14ac:dyDescent="0.2">
      <c r="A60" s="54"/>
      <c r="B60" s="54"/>
      <c r="C60" s="54"/>
      <c r="D60" s="54"/>
      <c r="E60" s="54"/>
      <c r="F60" s="54"/>
      <c r="G60" s="196"/>
      <c r="H60" s="196"/>
      <c r="I60" s="196"/>
      <c r="J60" s="196"/>
      <c r="K60" s="196"/>
      <c r="L60" s="196"/>
      <c r="M60" s="196"/>
    </row>
    <row r="61" spans="1:19" s="55" customFormat="1" ht="23.25" x14ac:dyDescent="0.2">
      <c r="A61" s="54"/>
      <c r="B61" s="222"/>
      <c r="C61" s="54"/>
      <c r="D61" s="54"/>
      <c r="E61" s="54"/>
      <c r="F61" s="54"/>
      <c r="G61" s="193"/>
      <c r="H61" s="193"/>
      <c r="I61" s="193"/>
      <c r="J61" s="193"/>
      <c r="K61" s="193"/>
      <c r="L61" s="193"/>
      <c r="M61" s="193"/>
    </row>
    <row r="62" spans="1:19" s="55" customFormat="1" ht="20.25" x14ac:dyDescent="0.2">
      <c r="A62" s="58"/>
      <c r="B62" s="58"/>
      <c r="D62" s="58"/>
      <c r="E62" s="58"/>
      <c r="F62" s="58"/>
      <c r="G62" s="193"/>
      <c r="H62" s="193"/>
      <c r="I62" s="193"/>
      <c r="J62" s="193"/>
      <c r="K62" s="193"/>
      <c r="L62" s="193"/>
      <c r="M62" s="193"/>
    </row>
    <row r="63" spans="1:19" s="55" customFormat="1" ht="20.25" x14ac:dyDescent="0.2">
      <c r="A63" s="58"/>
      <c r="B63" s="58"/>
      <c r="D63" s="58"/>
      <c r="E63" s="58"/>
      <c r="F63" s="58"/>
      <c r="G63" s="193"/>
      <c r="H63" s="193"/>
      <c r="I63" s="193"/>
      <c r="J63" s="193"/>
      <c r="K63" s="193"/>
      <c r="L63" s="193"/>
      <c r="M63" s="193"/>
    </row>
    <row r="64" spans="1:19" s="55" customFormat="1" ht="20.25" x14ac:dyDescent="0.2">
      <c r="A64" s="54"/>
      <c r="B64" s="54"/>
      <c r="D64" s="58"/>
      <c r="E64" s="54"/>
      <c r="F64" s="54"/>
      <c r="G64" s="193"/>
      <c r="H64" s="193"/>
      <c r="I64" s="193"/>
      <c r="J64" s="193"/>
      <c r="K64" s="193"/>
      <c r="L64" s="193"/>
      <c r="M64" s="193"/>
    </row>
    <row r="65" spans="1:13" s="55" customFormat="1" ht="23.25" x14ac:dyDescent="0.2">
      <c r="A65" s="54"/>
      <c r="B65" s="222"/>
      <c r="C65" s="54"/>
      <c r="D65" s="54"/>
      <c r="E65" s="54"/>
      <c r="F65" s="54"/>
      <c r="G65" s="196"/>
      <c r="H65" s="196"/>
      <c r="I65" s="196"/>
      <c r="J65" s="196"/>
      <c r="K65" s="196"/>
      <c r="L65" s="196"/>
      <c r="M65" s="196"/>
    </row>
    <row r="66" spans="1:13" s="55" customFormat="1" ht="20.25" x14ac:dyDescent="0.2">
      <c r="A66" s="54"/>
      <c r="B66" s="54"/>
      <c r="C66" s="54"/>
      <c r="D66" s="54"/>
      <c r="E66" s="54"/>
      <c r="F66" s="54"/>
      <c r="G66" s="193"/>
      <c r="H66" s="193"/>
      <c r="I66" s="193"/>
      <c r="J66" s="193"/>
      <c r="K66" s="193"/>
      <c r="L66" s="193"/>
      <c r="M66" s="193"/>
    </row>
    <row r="67" spans="1:13" s="62" customFormat="1" ht="26.25" x14ac:dyDescent="0.2">
      <c r="A67" s="219"/>
      <c r="B67" s="219"/>
      <c r="C67" s="219"/>
      <c r="D67" s="219"/>
      <c r="E67" s="219"/>
      <c r="F67" s="219"/>
      <c r="G67" s="220"/>
      <c r="H67" s="196"/>
      <c r="I67" s="196"/>
      <c r="J67" s="196"/>
      <c r="K67" s="196"/>
      <c r="L67" s="196"/>
      <c r="M67" s="196"/>
    </row>
    <row r="68" spans="1:13" ht="20.25" x14ac:dyDescent="0.3">
      <c r="H68" s="227"/>
      <c r="I68" s="227"/>
      <c r="J68" s="227"/>
      <c r="K68" s="227"/>
      <c r="L68" s="227"/>
      <c r="M68" s="227"/>
    </row>
    <row r="69" spans="1:13" ht="20.25" x14ac:dyDescent="0.3">
      <c r="H69" s="227"/>
      <c r="I69" s="227"/>
      <c r="J69" s="227"/>
      <c r="K69" s="227"/>
      <c r="L69" s="227"/>
      <c r="M69" s="227"/>
    </row>
    <row r="70" spans="1:13" ht="20.25" x14ac:dyDescent="0.3">
      <c r="H70" s="227"/>
      <c r="I70" s="227"/>
      <c r="J70" s="227"/>
      <c r="K70" s="227"/>
      <c r="L70" s="227"/>
      <c r="M70" s="227"/>
    </row>
    <row r="71" spans="1:13" ht="20.25" x14ac:dyDescent="0.3">
      <c r="H71" s="224"/>
      <c r="I71" s="224"/>
      <c r="J71" s="224"/>
      <c r="K71" s="224"/>
      <c r="L71" s="224"/>
      <c r="M71" s="224"/>
    </row>
  </sheetData>
  <mergeCells count="12">
    <mergeCell ref="D53:F53"/>
    <mergeCell ref="D30:F30"/>
    <mergeCell ref="D31:F31"/>
    <mergeCell ref="D33:F33"/>
    <mergeCell ref="D34:F34"/>
    <mergeCell ref="D35:F35"/>
    <mergeCell ref="D36:F36"/>
    <mergeCell ref="J6:M6"/>
    <mergeCell ref="O8:P8"/>
    <mergeCell ref="C18:F18"/>
    <mergeCell ref="C20:F20"/>
    <mergeCell ref="D29:F29"/>
  </mergeCells>
  <pageMargins left="0.2" right="0.2" top="0.75" bottom="0.5" header="0.3" footer="0.3"/>
  <pageSetup scale="62"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56"/>
  <sheetViews>
    <sheetView workbookViewId="0">
      <selection activeCell="L22" sqref="L22"/>
    </sheetView>
  </sheetViews>
  <sheetFormatPr defaultRowHeight="14.25" x14ac:dyDescent="0.2"/>
  <cols>
    <col min="1" max="1" width="2.875" customWidth="1"/>
    <col min="2" max="2" width="8.125" customWidth="1"/>
    <col min="3" max="3" width="8.75" customWidth="1"/>
    <col min="4" max="4" width="5.75" customWidth="1"/>
    <col min="5" max="5" width="2.875" customWidth="1"/>
    <col min="6" max="6" width="44.625" customWidth="1"/>
    <col min="7" max="7" width="23" customWidth="1"/>
  </cols>
  <sheetData>
    <row r="1" spans="1:9" ht="26.25" x14ac:dyDescent="0.4">
      <c r="A1" s="46" t="s">
        <v>93</v>
      </c>
      <c r="B1" s="47"/>
      <c r="C1" s="48"/>
      <c r="D1" s="48"/>
      <c r="E1" s="48"/>
      <c r="F1" s="47"/>
      <c r="G1" s="191"/>
    </row>
    <row r="2" spans="1:9" ht="26.25" x14ac:dyDescent="0.4">
      <c r="A2" s="46" t="s">
        <v>262</v>
      </c>
      <c r="B2" s="47"/>
      <c r="C2" s="48"/>
      <c r="D2" s="48"/>
      <c r="E2" s="48"/>
      <c r="F2" s="47"/>
      <c r="G2" s="191"/>
    </row>
    <row r="3" spans="1:9" ht="26.25" x14ac:dyDescent="0.4">
      <c r="A3" s="46" t="s">
        <v>315</v>
      </c>
      <c r="B3" s="47"/>
      <c r="C3" s="48"/>
      <c r="D3" s="48"/>
      <c r="E3" s="48"/>
      <c r="F3" s="47"/>
      <c r="G3" s="191"/>
    </row>
    <row r="4" spans="1:9" ht="21" thickBot="1" x14ac:dyDescent="0.25">
      <c r="A4" s="49"/>
      <c r="B4" s="49"/>
      <c r="C4" s="49"/>
      <c r="D4" s="49"/>
      <c r="E4" s="49"/>
      <c r="F4" s="49"/>
      <c r="G4" s="192"/>
    </row>
    <row r="5" spans="1:9" ht="27.75" thickTop="1" thickBot="1" x14ac:dyDescent="0.25">
      <c r="A5" s="51"/>
      <c r="B5" s="51"/>
      <c r="C5" s="51"/>
      <c r="D5" s="51"/>
      <c r="E5" s="51"/>
      <c r="F5" s="51"/>
      <c r="G5" s="327" t="s">
        <v>49</v>
      </c>
    </row>
    <row r="6" spans="1:9" ht="21" thickTop="1" x14ac:dyDescent="0.2">
      <c r="A6" s="54"/>
      <c r="B6" s="54"/>
      <c r="C6" s="54"/>
      <c r="D6" s="54"/>
      <c r="E6" s="54"/>
      <c r="F6" s="54"/>
      <c r="G6" s="193"/>
    </row>
    <row r="7" spans="1:9" ht="21" thickBot="1" x14ac:dyDescent="0.35">
      <c r="A7" s="56"/>
      <c r="B7" s="120" t="s">
        <v>99</v>
      </c>
      <c r="C7" s="120"/>
      <c r="D7" s="120"/>
      <c r="E7" s="120"/>
      <c r="F7" s="120"/>
      <c r="G7" s="231"/>
    </row>
    <row r="8" spans="1:9" ht="20.25" x14ac:dyDescent="0.2">
      <c r="A8" s="54"/>
      <c r="B8" s="54"/>
      <c r="C8" s="58" t="s">
        <v>100</v>
      </c>
      <c r="D8" s="58"/>
      <c r="E8" s="58"/>
      <c r="F8" s="54"/>
      <c r="G8" s="202">
        <v>791718</v>
      </c>
    </row>
    <row r="9" spans="1:9" ht="20.25" x14ac:dyDescent="0.2">
      <c r="A9" s="54"/>
      <c r="B9" s="54"/>
      <c r="C9" s="58" t="s">
        <v>316</v>
      </c>
      <c r="D9" s="58"/>
      <c r="E9" s="58"/>
      <c r="F9" s="54"/>
      <c r="G9" s="193">
        <v>25000</v>
      </c>
    </row>
    <row r="10" spans="1:9" ht="20.25" x14ac:dyDescent="0.2">
      <c r="A10" s="54"/>
      <c r="B10" s="54"/>
      <c r="C10" s="58" t="s">
        <v>149</v>
      </c>
      <c r="D10" s="58"/>
      <c r="E10" s="58"/>
      <c r="F10" s="54"/>
      <c r="G10" s="193">
        <v>147000</v>
      </c>
    </row>
    <row r="11" spans="1:9" ht="20.25" x14ac:dyDescent="0.2">
      <c r="A11" s="54"/>
      <c r="B11" s="54"/>
      <c r="C11" s="58" t="s">
        <v>178</v>
      </c>
      <c r="D11" s="58"/>
      <c r="E11" s="58"/>
      <c r="F11" s="54"/>
      <c r="G11" s="193">
        <v>43322</v>
      </c>
      <c r="I11" s="190"/>
    </row>
    <row r="12" spans="1:9" ht="20.25" x14ac:dyDescent="0.2">
      <c r="A12" s="54"/>
      <c r="B12" s="54"/>
      <c r="C12" s="58" t="s">
        <v>101</v>
      </c>
      <c r="D12" s="58"/>
      <c r="E12" s="58"/>
      <c r="F12" s="54"/>
      <c r="G12" s="193"/>
    </row>
    <row r="13" spans="1:9" ht="20.25" x14ac:dyDescent="0.2">
      <c r="A13" s="54"/>
      <c r="B13" s="54"/>
      <c r="C13" s="55"/>
      <c r="D13" s="58" t="s">
        <v>138</v>
      </c>
      <c r="E13" s="58"/>
      <c r="F13" s="54"/>
      <c r="G13" s="193">
        <f>43500+158022</f>
        <v>201522</v>
      </c>
    </row>
    <row r="14" spans="1:9" ht="20.25" x14ac:dyDescent="0.2">
      <c r="A14" s="54"/>
      <c r="B14" s="54"/>
      <c r="C14" s="55"/>
      <c r="D14" s="58" t="s">
        <v>158</v>
      </c>
      <c r="E14" s="58"/>
      <c r="F14" s="54"/>
      <c r="G14" s="193">
        <v>13000</v>
      </c>
    </row>
    <row r="15" spans="1:9" ht="20.25" x14ac:dyDescent="0.2">
      <c r="A15" s="54"/>
      <c r="B15" s="54"/>
      <c r="C15" s="58" t="s">
        <v>102</v>
      </c>
      <c r="D15" s="58"/>
      <c r="E15" s="58"/>
      <c r="F15" s="54"/>
      <c r="G15" s="193">
        <v>12500</v>
      </c>
    </row>
    <row r="16" spans="1:9" ht="20.25" x14ac:dyDescent="0.2">
      <c r="A16" s="54"/>
      <c r="B16" s="54"/>
      <c r="C16" s="58" t="s">
        <v>109</v>
      </c>
      <c r="D16" s="58"/>
      <c r="E16" s="58"/>
      <c r="F16" s="54"/>
      <c r="G16" s="193">
        <v>1200</v>
      </c>
    </row>
    <row r="17" spans="1:9" ht="20.25" x14ac:dyDescent="0.2">
      <c r="A17" s="54"/>
      <c r="B17" s="54"/>
      <c r="C17" s="58" t="s">
        <v>236</v>
      </c>
      <c r="D17" s="58"/>
      <c r="E17" s="58"/>
      <c r="F17" s="54"/>
      <c r="G17" s="193">
        <v>4200</v>
      </c>
    </row>
    <row r="18" spans="1:9" ht="20.25" x14ac:dyDescent="0.2">
      <c r="A18" s="54"/>
      <c r="B18" s="54"/>
      <c r="C18" s="58" t="s">
        <v>318</v>
      </c>
      <c r="D18" s="58"/>
      <c r="E18" s="58"/>
      <c r="F18" s="54"/>
      <c r="G18" s="193">
        <v>1500</v>
      </c>
    </row>
    <row r="19" spans="1:9" ht="20.25" x14ac:dyDescent="0.2">
      <c r="A19" s="54"/>
      <c r="B19" s="54"/>
      <c r="C19" s="58" t="s">
        <v>237</v>
      </c>
      <c r="D19" s="58"/>
      <c r="E19" s="58"/>
      <c r="F19" s="54"/>
      <c r="G19" s="193"/>
    </row>
    <row r="20" spans="1:9" ht="20.25" x14ac:dyDescent="0.2">
      <c r="A20" s="54"/>
      <c r="B20" s="54"/>
      <c r="C20" s="58"/>
      <c r="D20" s="58" t="s">
        <v>11</v>
      </c>
      <c r="E20" s="58"/>
      <c r="F20" s="54"/>
      <c r="G20" s="193">
        <f>73338-45000</f>
        <v>28338</v>
      </c>
    </row>
    <row r="21" spans="1:9" ht="20.25" x14ac:dyDescent="0.2">
      <c r="A21" s="54"/>
      <c r="B21" s="54"/>
      <c r="C21" s="58"/>
      <c r="D21" s="58" t="s">
        <v>17</v>
      </c>
      <c r="E21" s="58"/>
      <c r="F21" s="54"/>
      <c r="G21" s="193">
        <v>45000</v>
      </c>
    </row>
    <row r="22" spans="1:9" ht="20.25" x14ac:dyDescent="0.2">
      <c r="A22" s="54"/>
      <c r="B22" s="54"/>
      <c r="C22" s="58" t="s">
        <v>320</v>
      </c>
      <c r="D22" s="58"/>
      <c r="E22" s="58"/>
      <c r="F22" s="54"/>
      <c r="G22" s="193">
        <v>2500</v>
      </c>
    </row>
    <row r="23" spans="1:9" ht="20.25" x14ac:dyDescent="0.2">
      <c r="A23" s="54"/>
      <c r="B23" s="54"/>
      <c r="C23" s="58" t="s">
        <v>108</v>
      </c>
      <c r="D23" s="58"/>
      <c r="E23" s="58"/>
      <c r="F23" s="54"/>
      <c r="G23" s="193">
        <v>46575</v>
      </c>
    </row>
    <row r="24" spans="1:9" ht="20.25" x14ac:dyDescent="0.2">
      <c r="A24" s="54"/>
      <c r="B24" s="54"/>
      <c r="C24" s="58" t="s">
        <v>321</v>
      </c>
      <c r="D24" s="58"/>
      <c r="E24" s="58"/>
      <c r="F24" s="54"/>
      <c r="G24" s="193">
        <v>1531</v>
      </c>
    </row>
    <row r="25" spans="1:9" ht="20.25" x14ac:dyDescent="0.2">
      <c r="A25" s="54"/>
      <c r="B25" s="54"/>
      <c r="C25" s="58" t="s">
        <v>101</v>
      </c>
      <c r="D25" s="58"/>
      <c r="E25" s="58"/>
      <c r="F25" s="54"/>
      <c r="G25" s="193">
        <v>19000</v>
      </c>
    </row>
    <row r="26" spans="1:9" ht="20.25" x14ac:dyDescent="0.2">
      <c r="A26" s="54"/>
      <c r="B26" s="54"/>
      <c r="C26" s="58" t="s">
        <v>317</v>
      </c>
      <c r="D26" s="58"/>
      <c r="E26" s="58"/>
      <c r="F26" s="54"/>
      <c r="G26" s="193">
        <v>51000</v>
      </c>
    </row>
    <row r="27" spans="1:9" ht="20.25" x14ac:dyDescent="0.2">
      <c r="A27" s="54"/>
      <c r="B27" s="54"/>
      <c r="C27" s="58" t="s">
        <v>319</v>
      </c>
      <c r="D27" s="58"/>
      <c r="E27" s="58"/>
      <c r="F27" s="54"/>
      <c r="G27" s="193">
        <v>20655</v>
      </c>
    </row>
    <row r="28" spans="1:9" ht="20.25" x14ac:dyDescent="0.2">
      <c r="A28" s="54"/>
      <c r="B28" s="54"/>
      <c r="C28" s="58"/>
      <c r="D28" s="54" t="s">
        <v>104</v>
      </c>
      <c r="E28" s="58"/>
      <c r="F28" s="54"/>
      <c r="G28" s="201">
        <f>SUM(G8:G27)</f>
        <v>1455561</v>
      </c>
      <c r="I28" s="190"/>
    </row>
    <row r="29" spans="1:9" ht="20.25" x14ac:dyDescent="0.2">
      <c r="A29" s="54"/>
      <c r="B29" s="54"/>
      <c r="C29" s="58"/>
      <c r="D29" s="54"/>
      <c r="E29" s="58"/>
      <c r="F29" s="54"/>
      <c r="G29" s="193"/>
    </row>
    <row r="30" spans="1:9" ht="21" thickBot="1" x14ac:dyDescent="0.25">
      <c r="A30" s="54"/>
      <c r="B30" s="66" t="s">
        <v>110</v>
      </c>
      <c r="C30" s="66"/>
      <c r="D30" s="66"/>
      <c r="E30" s="66"/>
      <c r="F30" s="66"/>
      <c r="G30" s="200"/>
    </row>
    <row r="31" spans="1:9" ht="20.25" x14ac:dyDescent="0.2">
      <c r="A31" s="54"/>
      <c r="B31" s="54"/>
      <c r="C31" s="58" t="s">
        <v>111</v>
      </c>
      <c r="D31" s="58"/>
      <c r="E31" s="58"/>
      <c r="F31" s="58"/>
      <c r="G31" s="193">
        <v>889720</v>
      </c>
    </row>
    <row r="32" spans="1:9" ht="20.25" x14ac:dyDescent="0.2">
      <c r="A32" s="54"/>
      <c r="B32" s="54"/>
      <c r="C32" s="58" t="s">
        <v>112</v>
      </c>
      <c r="D32" s="58"/>
      <c r="E32" s="58"/>
      <c r="F32" s="58"/>
      <c r="G32" s="193">
        <v>192602</v>
      </c>
    </row>
    <row r="33" spans="1:7" ht="20.25" x14ac:dyDescent="0.2">
      <c r="A33" s="54"/>
      <c r="B33" s="54"/>
      <c r="C33" s="58" t="s">
        <v>113</v>
      </c>
      <c r="D33" s="58"/>
      <c r="E33" s="58"/>
      <c r="F33" s="58"/>
      <c r="G33" s="193">
        <v>3600</v>
      </c>
    </row>
    <row r="34" spans="1:7" ht="20.25" x14ac:dyDescent="0.2">
      <c r="A34" s="54"/>
      <c r="B34" s="54"/>
      <c r="C34" s="58" t="s">
        <v>103</v>
      </c>
      <c r="D34" s="58"/>
      <c r="E34" s="58"/>
      <c r="F34" s="58"/>
      <c r="G34" s="193">
        <f>G23</f>
        <v>46575</v>
      </c>
    </row>
    <row r="35" spans="1:7" ht="20.25" x14ac:dyDescent="0.2">
      <c r="A35" s="54"/>
      <c r="B35" s="54"/>
      <c r="C35" s="58" t="s">
        <v>114</v>
      </c>
      <c r="D35" s="58"/>
      <c r="E35" s="58"/>
      <c r="F35" s="58"/>
      <c r="G35" s="193">
        <v>17595</v>
      </c>
    </row>
    <row r="36" spans="1:7" ht="20.25" x14ac:dyDescent="0.2">
      <c r="A36" s="54"/>
      <c r="B36" s="54"/>
      <c r="C36" s="58" t="s">
        <v>115</v>
      </c>
      <c r="D36" s="58"/>
      <c r="E36" s="58"/>
      <c r="F36" s="58"/>
      <c r="G36" s="193">
        <v>2821</v>
      </c>
    </row>
    <row r="37" spans="1:7" ht="20.25" x14ac:dyDescent="0.2">
      <c r="A37" s="54"/>
      <c r="B37" s="54"/>
      <c r="C37" s="58" t="s">
        <v>116</v>
      </c>
      <c r="D37" s="58"/>
      <c r="E37" s="58"/>
      <c r="F37" s="58"/>
      <c r="G37" s="193">
        <v>5032</v>
      </c>
    </row>
    <row r="38" spans="1:7" ht="20.25" x14ac:dyDescent="0.2">
      <c r="A38" s="54"/>
      <c r="B38" s="54"/>
      <c r="C38" s="58" t="s">
        <v>117</v>
      </c>
      <c r="D38" s="58"/>
      <c r="E38" s="58"/>
      <c r="F38" s="58"/>
      <c r="G38" s="193">
        <v>12216</v>
      </c>
    </row>
    <row r="39" spans="1:7" ht="20.25" x14ac:dyDescent="0.2">
      <c r="A39" s="54"/>
      <c r="B39" s="54"/>
      <c r="C39" s="58" t="s">
        <v>118</v>
      </c>
      <c r="D39" s="58"/>
      <c r="E39" s="58"/>
      <c r="F39" s="58"/>
      <c r="G39" s="193">
        <v>39500</v>
      </c>
    </row>
    <row r="40" spans="1:7" ht="20.25" x14ac:dyDescent="0.2">
      <c r="A40" s="54"/>
      <c r="B40" s="54"/>
      <c r="C40" s="58" t="s">
        <v>119</v>
      </c>
      <c r="D40" s="58"/>
      <c r="E40" s="58"/>
      <c r="F40" s="58"/>
      <c r="G40" s="193">
        <v>4840</v>
      </c>
    </row>
    <row r="41" spans="1:7" ht="20.25" x14ac:dyDescent="0.2">
      <c r="A41" s="54"/>
      <c r="B41" s="54"/>
      <c r="C41" s="58" t="s">
        <v>120</v>
      </c>
      <c r="D41" s="58"/>
      <c r="E41" s="58"/>
      <c r="F41" s="58"/>
      <c r="G41" s="193">
        <v>1735</v>
      </c>
    </row>
    <row r="42" spans="1:7" ht="20.25" x14ac:dyDescent="0.2">
      <c r="A42" s="54"/>
      <c r="B42" s="54"/>
      <c r="C42" s="58" t="s">
        <v>165</v>
      </c>
      <c r="D42" s="58"/>
      <c r="E42" s="58"/>
      <c r="F42" s="58"/>
      <c r="G42" s="193">
        <v>12125</v>
      </c>
    </row>
    <row r="43" spans="1:7" ht="20.25" x14ac:dyDescent="0.2">
      <c r="A43" s="58"/>
      <c r="B43" s="58"/>
      <c r="C43" s="58" t="s">
        <v>121</v>
      </c>
      <c r="D43" s="58"/>
      <c r="E43" s="58"/>
      <c r="F43" s="58"/>
      <c r="G43" s="193">
        <v>12252</v>
      </c>
    </row>
    <row r="44" spans="1:7" ht="20.25" x14ac:dyDescent="0.2">
      <c r="A44" s="58"/>
      <c r="B44" s="58"/>
      <c r="C44" s="58" t="s">
        <v>122</v>
      </c>
      <c r="D44" s="58"/>
      <c r="E44" s="58"/>
      <c r="F44" s="58"/>
      <c r="G44" s="193">
        <v>13564</v>
      </c>
    </row>
    <row r="45" spans="1:7" ht="20.25" x14ac:dyDescent="0.2">
      <c r="A45" s="58"/>
      <c r="B45" s="58"/>
      <c r="C45" s="58" t="s">
        <v>129</v>
      </c>
      <c r="D45" s="58"/>
      <c r="E45" s="58"/>
      <c r="F45" s="58"/>
      <c r="G45" s="193">
        <v>875</v>
      </c>
    </row>
    <row r="46" spans="1:7" ht="20.25" x14ac:dyDescent="0.2">
      <c r="A46" s="58"/>
      <c r="B46" s="58"/>
      <c r="C46" s="58" t="s">
        <v>123</v>
      </c>
      <c r="D46" s="58"/>
      <c r="E46" s="58"/>
      <c r="F46" s="58"/>
      <c r="G46" s="193">
        <f>10039+1500</f>
        <v>11539</v>
      </c>
    </row>
    <row r="47" spans="1:7" ht="20.25" x14ac:dyDescent="0.2">
      <c r="A47" s="54"/>
      <c r="B47" s="54"/>
      <c r="C47" s="58" t="s">
        <v>198</v>
      </c>
      <c r="D47" s="58"/>
      <c r="E47" s="58"/>
      <c r="F47" s="58"/>
      <c r="G47" s="193">
        <f>12623+2660</f>
        <v>15283</v>
      </c>
    </row>
    <row r="48" spans="1:7" ht="20.25" x14ac:dyDescent="0.2">
      <c r="A48" s="58"/>
      <c r="B48" s="58"/>
      <c r="C48" s="58" t="s">
        <v>124</v>
      </c>
      <c r="D48" s="58"/>
      <c r="E48" s="58"/>
      <c r="F48" s="58"/>
      <c r="G48" s="193">
        <v>39977</v>
      </c>
    </row>
    <row r="49" spans="1:7" ht="20.25" x14ac:dyDescent="0.2">
      <c r="A49" s="58"/>
      <c r="B49" s="58"/>
      <c r="C49" s="58" t="s">
        <v>125</v>
      </c>
      <c r="D49" s="58"/>
      <c r="E49" s="58"/>
      <c r="F49" s="58"/>
      <c r="G49" s="193">
        <v>19556</v>
      </c>
    </row>
    <row r="50" spans="1:7" ht="20.25" x14ac:dyDescent="0.2">
      <c r="A50" s="58"/>
      <c r="B50" s="58"/>
      <c r="C50" s="58" t="s">
        <v>164</v>
      </c>
      <c r="D50" s="58"/>
      <c r="E50" s="58"/>
      <c r="F50" s="58"/>
      <c r="G50" s="193">
        <v>56100</v>
      </c>
    </row>
    <row r="51" spans="1:7" ht="20.25" x14ac:dyDescent="0.2">
      <c r="A51" s="58"/>
      <c r="B51" s="58"/>
      <c r="C51" s="58" t="s">
        <v>126</v>
      </c>
      <c r="D51" s="58"/>
      <c r="E51" s="58"/>
      <c r="F51" s="58"/>
      <c r="G51" s="193">
        <f>750+86095</f>
        <v>86845</v>
      </c>
    </row>
    <row r="52" spans="1:7" ht="21" thickBot="1" x14ac:dyDescent="0.25">
      <c r="A52" s="58"/>
      <c r="B52" s="58"/>
      <c r="C52" s="58"/>
      <c r="D52" s="58"/>
      <c r="E52" s="58"/>
      <c r="F52" s="58"/>
      <c r="G52" s="200"/>
    </row>
    <row r="53" spans="1:7" ht="20.25" x14ac:dyDescent="0.2">
      <c r="A53" s="54"/>
      <c r="B53" s="54"/>
      <c r="C53" s="54"/>
      <c r="D53" s="54" t="s">
        <v>127</v>
      </c>
      <c r="E53" s="54"/>
      <c r="F53" s="54"/>
      <c r="G53" s="196">
        <f>SUM(G31:G51)</f>
        <v>1484352</v>
      </c>
    </row>
    <row r="54" spans="1:7" ht="21" thickBot="1" x14ac:dyDescent="0.25">
      <c r="A54" s="54"/>
      <c r="B54" s="54"/>
      <c r="C54" s="54"/>
      <c r="D54" s="54"/>
      <c r="E54" s="54"/>
      <c r="F54" s="54"/>
      <c r="G54" s="200"/>
    </row>
    <row r="55" spans="1:7" ht="21" thickBot="1" x14ac:dyDescent="0.25">
      <c r="A55" s="54"/>
      <c r="B55" s="54"/>
      <c r="C55" s="54"/>
      <c r="D55" s="54" t="s">
        <v>128</v>
      </c>
      <c r="E55" s="54"/>
      <c r="F55" s="54"/>
      <c r="G55" s="200">
        <f>G28-G53</f>
        <v>-28791</v>
      </c>
    </row>
    <row r="56" spans="1:7" ht="20.25" x14ac:dyDescent="0.2">
      <c r="A56" s="54"/>
      <c r="B56" s="54"/>
      <c r="C56" s="54"/>
      <c r="D56" s="54"/>
      <c r="E56" s="54"/>
      <c r="F56" s="54"/>
      <c r="G56" s="193"/>
    </row>
  </sheetData>
  <pageMargins left="1.2" right="0" top="0.5" bottom="0.5" header="0.3" footer="0.3"/>
  <pageSetup scale="65"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O75"/>
  <sheetViews>
    <sheetView workbookViewId="0"/>
  </sheetViews>
  <sheetFormatPr defaultRowHeight="14.25" x14ac:dyDescent="0.2"/>
  <cols>
    <col min="1" max="1" width="19.5" style="3" customWidth="1"/>
    <col min="2" max="2" width="15.25" style="3" hidden="1" customWidth="1"/>
    <col min="3" max="3" width="15.125" style="258" hidden="1" customWidth="1"/>
    <col min="4" max="7" width="15" customWidth="1"/>
    <col min="8" max="8" width="14.625" customWidth="1"/>
  </cols>
  <sheetData>
    <row r="1" spans="1:41" ht="21" x14ac:dyDescent="0.35">
      <c r="A1" s="475" t="s">
        <v>93</v>
      </c>
      <c r="B1" s="47"/>
      <c r="C1" s="48"/>
      <c r="D1" s="48"/>
      <c r="E1" s="48"/>
      <c r="F1" s="47"/>
      <c r="G1" s="191"/>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row>
    <row r="2" spans="1:41" ht="21" x14ac:dyDescent="0.35">
      <c r="A2" s="475" t="s">
        <v>298</v>
      </c>
      <c r="B2" s="47"/>
      <c r="C2" s="48"/>
      <c r="D2" s="48"/>
      <c r="E2" s="48"/>
      <c r="F2" s="47"/>
      <c r="G2" s="191"/>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row>
    <row r="3" spans="1:41" ht="21" x14ac:dyDescent="0.35">
      <c r="A3" s="475" t="str">
        <f>'April''24 State of Activities'!A3</f>
        <v>Four Months Ended April 30, 2024 and 2023</v>
      </c>
      <c r="B3" s="47"/>
      <c r="C3" s="48"/>
      <c r="D3" s="48"/>
      <c r="E3" s="48"/>
      <c r="F3" s="47"/>
      <c r="G3" s="191"/>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row>
    <row r="4" spans="1:41" ht="15" thickBot="1" x14ac:dyDescent="0.25"/>
    <row r="5" spans="1:41" ht="21.75" thickBot="1" x14ac:dyDescent="0.4">
      <c r="A5" s="853" t="s">
        <v>278</v>
      </c>
      <c r="B5" s="854"/>
      <c r="C5" s="854"/>
      <c r="D5" s="854"/>
      <c r="E5" s="854"/>
      <c r="F5" s="854"/>
      <c r="G5" s="854"/>
      <c r="H5" s="855"/>
    </row>
    <row r="6" spans="1:41" ht="7.5" customHeight="1" thickBot="1" x14ac:dyDescent="0.25">
      <c r="E6" s="21"/>
      <c r="F6" s="21"/>
      <c r="G6" s="21"/>
    </row>
    <row r="7" spans="1:41" ht="15.75" x14ac:dyDescent="0.25">
      <c r="A7" s="445" t="s">
        <v>279</v>
      </c>
      <c r="B7" s="446" t="s">
        <v>280</v>
      </c>
      <c r="C7" s="446" t="s">
        <v>281</v>
      </c>
      <c r="D7" s="446" t="s">
        <v>282</v>
      </c>
      <c r="E7" s="446" t="s">
        <v>283</v>
      </c>
      <c r="F7" s="446" t="s">
        <v>284</v>
      </c>
      <c r="G7" s="446" t="s">
        <v>285</v>
      </c>
      <c r="H7" s="445" t="s">
        <v>286</v>
      </c>
    </row>
    <row r="8" spans="1:41" ht="16.5" thickBot="1" x14ac:dyDescent="0.3">
      <c r="A8" s="447"/>
      <c r="B8" s="448" t="s">
        <v>287</v>
      </c>
      <c r="C8" s="448" t="s">
        <v>287</v>
      </c>
      <c r="D8" s="448" t="s">
        <v>287</v>
      </c>
      <c r="E8" s="448" t="s">
        <v>287</v>
      </c>
      <c r="F8" s="448" t="s">
        <v>287</v>
      </c>
      <c r="G8" s="448" t="s">
        <v>287</v>
      </c>
      <c r="H8" s="449" t="s">
        <v>288</v>
      </c>
    </row>
    <row r="9" spans="1:41" x14ac:dyDescent="0.2">
      <c r="A9" s="450">
        <v>42741</v>
      </c>
      <c r="B9" s="451">
        <v>1059.72</v>
      </c>
      <c r="C9" s="452">
        <f>6123.86-3246.88</f>
        <v>2876.9799999999996</v>
      </c>
      <c r="D9" s="451">
        <f>160.4+1401.46</f>
        <v>1561.8600000000001</v>
      </c>
      <c r="E9" s="451">
        <f>2007.36+883.16</f>
        <v>2890.52</v>
      </c>
      <c r="F9" s="451">
        <v>4174.08</v>
      </c>
      <c r="G9" s="451">
        <v>3187.95</v>
      </c>
      <c r="H9" s="451">
        <f>G9-F9</f>
        <v>-986.13000000000011</v>
      </c>
    </row>
    <row r="10" spans="1:41" x14ac:dyDescent="0.2">
      <c r="A10" s="453">
        <v>42748</v>
      </c>
      <c r="B10" s="454">
        <v>1351.72</v>
      </c>
      <c r="C10" s="451">
        <f>7232.22-3246.88</f>
        <v>3985.34</v>
      </c>
      <c r="D10" s="454">
        <v>3927.82</v>
      </c>
      <c r="E10" s="454">
        <v>3364.16</v>
      </c>
      <c r="F10" s="451">
        <v>4643.2299999999996</v>
      </c>
      <c r="G10" s="451">
        <v>3858.57</v>
      </c>
      <c r="H10" s="451">
        <f t="shared" ref="H10:H21" si="0">G10-F10</f>
        <v>-784.6599999999994</v>
      </c>
    </row>
    <row r="11" spans="1:41" x14ac:dyDescent="0.2">
      <c r="A11" s="453">
        <v>42755</v>
      </c>
      <c r="B11" s="454">
        <v>1237.58</v>
      </c>
      <c r="C11" s="454">
        <f>5493.18-2496.78</f>
        <v>2996.4</v>
      </c>
      <c r="D11" s="454">
        <v>3463.28</v>
      </c>
      <c r="E11" s="454">
        <v>3723.22</v>
      </c>
      <c r="F11" s="451">
        <v>3257.98</v>
      </c>
      <c r="G11" s="451">
        <v>2816.13</v>
      </c>
      <c r="H11" s="451">
        <f t="shared" si="0"/>
        <v>-441.84999999999991</v>
      </c>
    </row>
    <row r="12" spans="1:41" x14ac:dyDescent="0.2">
      <c r="A12" s="453">
        <v>42762</v>
      </c>
      <c r="B12" s="454">
        <v>1829.66</v>
      </c>
      <c r="C12" s="454">
        <f>6125.18-2535</f>
        <v>3590.1800000000003</v>
      </c>
      <c r="D12" s="454">
        <v>2947.54</v>
      </c>
      <c r="E12" s="454">
        <v>3026.63</v>
      </c>
      <c r="F12" s="451">
        <v>3503.82</v>
      </c>
      <c r="G12" s="451">
        <v>2957.14</v>
      </c>
      <c r="H12" s="451">
        <f t="shared" si="0"/>
        <v>-546.68000000000029</v>
      </c>
    </row>
    <row r="13" spans="1:41" x14ac:dyDescent="0.2">
      <c r="A13" s="453">
        <v>42769</v>
      </c>
      <c r="B13" s="454">
        <v>2363.12</v>
      </c>
      <c r="C13" s="454">
        <f>-3488.68+8424.94</f>
        <v>4936.26</v>
      </c>
      <c r="D13" s="454">
        <v>3434.46</v>
      </c>
      <c r="E13" s="454">
        <v>2986.58</v>
      </c>
      <c r="F13" s="451">
        <v>4063.43</v>
      </c>
      <c r="G13" s="451">
        <v>3878.62</v>
      </c>
      <c r="H13" s="451">
        <f t="shared" si="0"/>
        <v>-184.80999999999995</v>
      </c>
    </row>
    <row r="14" spans="1:41" x14ac:dyDescent="0.2">
      <c r="A14" s="453">
        <v>42776</v>
      </c>
      <c r="B14" s="454">
        <v>1902.16</v>
      </c>
      <c r="C14" s="454">
        <f>-2931.5+7254.06</f>
        <v>4322.5600000000004</v>
      </c>
      <c r="D14" s="454">
        <v>2818.82</v>
      </c>
      <c r="E14" s="454">
        <f>2800.67</f>
        <v>2800.67</v>
      </c>
      <c r="F14" s="451">
        <v>4002.46</v>
      </c>
      <c r="G14" s="451">
        <v>2987.96</v>
      </c>
      <c r="H14" s="451">
        <f t="shared" si="0"/>
        <v>-1014.5</v>
      </c>
    </row>
    <row r="15" spans="1:41" x14ac:dyDescent="0.2">
      <c r="A15" s="453">
        <v>42783</v>
      </c>
      <c r="B15" s="454">
        <v>2134.56</v>
      </c>
      <c r="C15" s="454">
        <f>-3653.28+8329.5-700</f>
        <v>3976.2199999999993</v>
      </c>
      <c r="D15" s="454">
        <v>2157.96</v>
      </c>
      <c r="E15" s="454">
        <v>2584.04</v>
      </c>
      <c r="F15" s="451">
        <v>2886.61</v>
      </c>
      <c r="G15" s="451">
        <v>3373.08</v>
      </c>
      <c r="H15" s="451">
        <f t="shared" si="0"/>
        <v>486.4699999999998</v>
      </c>
    </row>
    <row r="16" spans="1:41" x14ac:dyDescent="0.2">
      <c r="A16" s="453">
        <v>42790</v>
      </c>
      <c r="B16" s="454">
        <v>1676.08</v>
      </c>
      <c r="C16" s="454">
        <f>-2869.88+6693.6</f>
        <v>3823.7200000000003</v>
      </c>
      <c r="D16" s="454">
        <v>3063.52</v>
      </c>
      <c r="E16" s="454">
        <v>3161.19</v>
      </c>
      <c r="F16" s="451">
        <v>3994.7</v>
      </c>
      <c r="G16" s="451">
        <v>3335.8</v>
      </c>
      <c r="H16" s="451">
        <f t="shared" si="0"/>
        <v>-658.89999999999964</v>
      </c>
    </row>
    <row r="17" spans="1:8" x14ac:dyDescent="0.2">
      <c r="A17" s="453">
        <v>42797</v>
      </c>
      <c r="B17" s="454">
        <v>1418.9</v>
      </c>
      <c r="C17" s="454">
        <f>-3427.32+8141.08</f>
        <v>4713.76</v>
      </c>
      <c r="D17" s="454">
        <v>4534.3</v>
      </c>
      <c r="E17" s="454">
        <v>3860.23</v>
      </c>
      <c r="F17" s="451">
        <v>4172.5600000000004</v>
      </c>
      <c r="G17" s="451">
        <v>2335.96</v>
      </c>
      <c r="H17" s="451">
        <f t="shared" si="0"/>
        <v>-1836.6000000000004</v>
      </c>
    </row>
    <row r="18" spans="1:8" x14ac:dyDescent="0.2">
      <c r="A18" s="453">
        <v>42804</v>
      </c>
      <c r="B18" s="454">
        <v>1013.74</v>
      </c>
      <c r="C18" s="454">
        <f>-2919.8+6449.26</f>
        <v>3529.46</v>
      </c>
      <c r="D18" s="454">
        <v>3673.88</v>
      </c>
      <c r="E18" s="454">
        <v>4004</v>
      </c>
      <c r="F18" s="451">
        <v>3762.8</v>
      </c>
      <c r="G18" s="451">
        <v>1711.94</v>
      </c>
      <c r="H18" s="451">
        <f t="shared" si="0"/>
        <v>-2050.86</v>
      </c>
    </row>
    <row r="19" spans="1:8" x14ac:dyDescent="0.2">
      <c r="A19" s="453">
        <v>42811</v>
      </c>
      <c r="B19" s="455">
        <v>3629.96</v>
      </c>
      <c r="C19" s="454">
        <f>-3708.38+7621.78</f>
        <v>3913.3999999999996</v>
      </c>
      <c r="D19" s="454">
        <v>4030.4</v>
      </c>
      <c r="E19" s="454">
        <v>3222.03</v>
      </c>
      <c r="F19" s="451">
        <v>4340.3</v>
      </c>
      <c r="G19" s="451">
        <v>942.16</v>
      </c>
      <c r="H19" s="451">
        <f t="shared" si="0"/>
        <v>-3398.1400000000003</v>
      </c>
    </row>
    <row r="20" spans="1:8" x14ac:dyDescent="0.2">
      <c r="A20" s="453">
        <v>42818</v>
      </c>
      <c r="B20" s="455">
        <v>3364</v>
      </c>
      <c r="C20" s="454">
        <f>-3726.84+7846.28</f>
        <v>4119.4399999999996</v>
      </c>
      <c r="D20" s="454">
        <v>3975.2</v>
      </c>
      <c r="E20" s="454">
        <v>3684.17</v>
      </c>
      <c r="F20" s="451">
        <v>3849.95</v>
      </c>
      <c r="G20" s="451">
        <v>1706.08</v>
      </c>
      <c r="H20" s="451">
        <f t="shared" si="0"/>
        <v>-2143.87</v>
      </c>
    </row>
    <row r="21" spans="1:8" ht="15" thickBot="1" x14ac:dyDescent="0.25">
      <c r="A21" s="453">
        <v>42825</v>
      </c>
      <c r="B21" s="455">
        <v>3587</v>
      </c>
      <c r="C21" s="454">
        <f>-3329.82+7562.9</f>
        <v>4233.08</v>
      </c>
      <c r="D21" s="454">
        <v>4280.8</v>
      </c>
      <c r="E21" s="455">
        <v>4118.96</v>
      </c>
      <c r="F21" s="456">
        <v>4082.74</v>
      </c>
      <c r="G21" s="456">
        <v>2002.52</v>
      </c>
      <c r="H21" s="451">
        <f t="shared" si="0"/>
        <v>-2080.2199999999998</v>
      </c>
    </row>
    <row r="22" spans="1:8" ht="16.5" thickBot="1" x14ac:dyDescent="0.25">
      <c r="A22" s="457" t="s">
        <v>289</v>
      </c>
      <c r="B22" s="458">
        <f t="shared" ref="B22:H22" si="1">SUM(B9:B21)</f>
        <v>26568.2</v>
      </c>
      <c r="C22" s="458">
        <f t="shared" si="1"/>
        <v>51016.80000000001</v>
      </c>
      <c r="D22" s="458">
        <f t="shared" si="1"/>
        <v>43869.84</v>
      </c>
      <c r="E22" s="458">
        <f t="shared" si="1"/>
        <v>43426.399999999994</v>
      </c>
      <c r="F22" s="458">
        <f t="shared" si="1"/>
        <v>50734.659999999996</v>
      </c>
      <c r="G22" s="458">
        <f t="shared" si="1"/>
        <v>35093.909999999989</v>
      </c>
      <c r="H22" s="458">
        <f t="shared" si="1"/>
        <v>-15640.749999999998</v>
      </c>
    </row>
    <row r="23" spans="1:8" x14ac:dyDescent="0.2">
      <c r="A23" s="459">
        <v>42832</v>
      </c>
      <c r="B23" s="454">
        <v>3525.02</v>
      </c>
      <c r="C23" s="451">
        <v>4517.8999999999996</v>
      </c>
      <c r="D23" s="451">
        <v>4162.12</v>
      </c>
      <c r="E23" s="451">
        <v>4043.7</v>
      </c>
      <c r="F23" s="451">
        <v>3768.69</v>
      </c>
      <c r="G23" s="451">
        <v>2018.44</v>
      </c>
      <c r="H23" s="451">
        <f>G23-F23</f>
        <v>-1750.25</v>
      </c>
    </row>
    <row r="24" spans="1:8" x14ac:dyDescent="0.2">
      <c r="A24" s="459">
        <v>42839</v>
      </c>
      <c r="B24" s="454">
        <v>3842.84</v>
      </c>
      <c r="C24" s="451">
        <v>4554.42</v>
      </c>
      <c r="D24" s="454">
        <v>4616</v>
      </c>
      <c r="E24" s="454">
        <v>4136.18</v>
      </c>
      <c r="F24" s="451">
        <v>4345.16</v>
      </c>
      <c r="G24" s="451">
        <v>5284.52</v>
      </c>
      <c r="H24" s="451">
        <f t="shared" ref="H24:H63" si="2">G24-F24</f>
        <v>939.36000000000058</v>
      </c>
    </row>
    <row r="25" spans="1:8" x14ac:dyDescent="0.2">
      <c r="A25" s="459">
        <v>42846</v>
      </c>
      <c r="B25" s="454">
        <v>5337.82</v>
      </c>
      <c r="C25" s="454">
        <v>4041.14</v>
      </c>
      <c r="D25" s="454">
        <v>3729.1</v>
      </c>
      <c r="E25" s="454">
        <v>4132.83</v>
      </c>
      <c r="F25" s="451">
        <v>4267.46</v>
      </c>
      <c r="G25" s="451">
        <v>4715.9799999999996</v>
      </c>
      <c r="H25" s="451">
        <f t="shared" si="2"/>
        <v>448.51999999999953</v>
      </c>
    </row>
    <row r="26" spans="1:8" x14ac:dyDescent="0.2">
      <c r="A26" s="459">
        <v>42853</v>
      </c>
      <c r="B26" s="454">
        <v>4973.68</v>
      </c>
      <c r="C26" s="454">
        <v>4321.8599999999997</v>
      </c>
      <c r="D26" s="454">
        <v>3706.08</v>
      </c>
      <c r="E26" s="454">
        <v>4536.74</v>
      </c>
      <c r="F26" s="451">
        <v>3953.61</v>
      </c>
      <c r="G26" s="451">
        <v>4499.7</v>
      </c>
      <c r="H26" s="451">
        <f t="shared" si="2"/>
        <v>546.08999999999969</v>
      </c>
    </row>
    <row r="27" spans="1:8" x14ac:dyDescent="0.2">
      <c r="A27" s="459">
        <v>42860</v>
      </c>
      <c r="B27" s="454">
        <v>3187.22</v>
      </c>
      <c r="C27" s="454">
        <v>4732.8999999999996</v>
      </c>
      <c r="D27" s="454">
        <v>3421.72</v>
      </c>
      <c r="E27" s="454">
        <f>3478.64+72+758.56</f>
        <v>4309.2</v>
      </c>
      <c r="F27" s="451">
        <v>4192.32</v>
      </c>
      <c r="G27" s="451">
        <v>4204.16</v>
      </c>
      <c r="H27" s="451">
        <f t="shared" si="2"/>
        <v>11.840000000000146</v>
      </c>
    </row>
    <row r="28" spans="1:8" x14ac:dyDescent="0.2">
      <c r="A28" s="459">
        <v>42867</v>
      </c>
      <c r="B28" s="454">
        <v>2237.2399999999998</v>
      </c>
      <c r="C28" s="454">
        <v>4138.8999999999996</v>
      </c>
      <c r="D28" s="454">
        <v>3907.94</v>
      </c>
      <c r="E28" s="454">
        <f>4050.94+212.76</f>
        <v>4263.7</v>
      </c>
      <c r="F28" s="451">
        <v>4361.47</v>
      </c>
      <c r="G28" s="451">
        <v>4571.82</v>
      </c>
      <c r="H28" s="451">
        <f t="shared" si="2"/>
        <v>210.34999999999945</v>
      </c>
    </row>
    <row r="29" spans="1:8" x14ac:dyDescent="0.2">
      <c r="A29" s="459">
        <v>42874</v>
      </c>
      <c r="B29" s="454">
        <v>3446.22</v>
      </c>
      <c r="C29" s="454">
        <v>5447.82</v>
      </c>
      <c r="D29" s="454">
        <f>3359.74+70.28</f>
        <v>3430.02</v>
      </c>
      <c r="E29" s="454">
        <v>3958.56</v>
      </c>
      <c r="F29" s="451">
        <v>3957.78</v>
      </c>
      <c r="G29" s="451">
        <v>4089.18</v>
      </c>
      <c r="H29" s="451">
        <f t="shared" si="2"/>
        <v>131.39999999999964</v>
      </c>
    </row>
    <row r="30" spans="1:8" x14ac:dyDescent="0.2">
      <c r="A30" s="459">
        <v>42881</v>
      </c>
      <c r="B30" s="454">
        <v>3507.94</v>
      </c>
      <c r="C30" s="454">
        <v>4315.03</v>
      </c>
      <c r="D30" s="454">
        <v>3880.8</v>
      </c>
      <c r="E30" s="454">
        <v>4314.9799999999996</v>
      </c>
      <c r="F30" s="451">
        <v>3634.01</v>
      </c>
      <c r="G30" s="451">
        <v>3993.63</v>
      </c>
      <c r="H30" s="451">
        <f t="shared" si="2"/>
        <v>359.61999999999989</v>
      </c>
    </row>
    <row r="31" spans="1:8" x14ac:dyDescent="0.2">
      <c r="A31" s="459">
        <v>42888</v>
      </c>
      <c r="B31" s="454">
        <v>3609.72</v>
      </c>
      <c r="C31" s="454">
        <v>3053.8</v>
      </c>
      <c r="D31" s="454">
        <v>2686.82</v>
      </c>
      <c r="E31" s="454">
        <v>2987.04</v>
      </c>
      <c r="F31" s="451">
        <v>2684.24</v>
      </c>
      <c r="G31" s="451">
        <v>2384.3200000000002</v>
      </c>
      <c r="H31" s="451">
        <f t="shared" si="2"/>
        <v>-299.91999999999962</v>
      </c>
    </row>
    <row r="32" spans="1:8" x14ac:dyDescent="0.2">
      <c r="A32" s="459">
        <v>42895</v>
      </c>
      <c r="B32" s="454">
        <v>2033.76</v>
      </c>
      <c r="C32" s="454">
        <v>4194.8599999999997</v>
      </c>
      <c r="D32" s="454">
        <v>3006.14</v>
      </c>
      <c r="E32" s="454">
        <v>3675.8</v>
      </c>
      <c r="F32" s="451">
        <v>3674.42</v>
      </c>
      <c r="G32" s="451">
        <v>3297.66</v>
      </c>
      <c r="H32" s="451">
        <f t="shared" si="2"/>
        <v>-376.76000000000022</v>
      </c>
    </row>
    <row r="33" spans="1:8" x14ac:dyDescent="0.2">
      <c r="A33" s="459">
        <v>42902</v>
      </c>
      <c r="B33" s="454">
        <v>2786.98</v>
      </c>
      <c r="C33" s="454">
        <v>3980.08</v>
      </c>
      <c r="D33" s="454">
        <v>3579.53</v>
      </c>
      <c r="E33" s="454">
        <v>4147.8999999999996</v>
      </c>
      <c r="F33" s="451">
        <v>4182.5200000000004</v>
      </c>
      <c r="G33" s="451">
        <v>3252.16</v>
      </c>
      <c r="H33" s="451">
        <f t="shared" si="2"/>
        <v>-930.36000000000058</v>
      </c>
    </row>
    <row r="34" spans="1:8" x14ac:dyDescent="0.2">
      <c r="A34" s="459">
        <v>42909</v>
      </c>
      <c r="B34" s="455">
        <v>2436.9</v>
      </c>
      <c r="C34" s="454">
        <v>4001.26</v>
      </c>
      <c r="D34" s="454">
        <v>3401.21</v>
      </c>
      <c r="E34" s="454">
        <v>3774.82</v>
      </c>
      <c r="F34" s="451">
        <v>3596.56</v>
      </c>
      <c r="G34" s="451">
        <v>3139.68</v>
      </c>
      <c r="H34" s="451">
        <f t="shared" si="2"/>
        <v>-456.88000000000011</v>
      </c>
    </row>
    <row r="35" spans="1:8" ht="15" thickBot="1" x14ac:dyDescent="0.25">
      <c r="A35" s="459">
        <v>42916</v>
      </c>
      <c r="B35" s="455">
        <v>2410.56</v>
      </c>
      <c r="C35" s="454">
        <v>3928.74</v>
      </c>
      <c r="D35" s="455">
        <v>3288.01</v>
      </c>
      <c r="E35" s="455">
        <v>3466.07</v>
      </c>
      <c r="F35" s="456">
        <v>3867.92</v>
      </c>
      <c r="G35" s="456">
        <v>3368.72</v>
      </c>
      <c r="H35" s="451">
        <f t="shared" si="2"/>
        <v>-499.20000000000027</v>
      </c>
    </row>
    <row r="36" spans="1:8" ht="16.5" thickBot="1" x14ac:dyDescent="0.25">
      <c r="A36" s="457" t="s">
        <v>290</v>
      </c>
      <c r="B36" s="458">
        <f t="shared" ref="B36:H36" si="3">SUM(B23:B35)</f>
        <v>43335.9</v>
      </c>
      <c r="C36" s="458">
        <f t="shared" si="3"/>
        <v>55228.710000000006</v>
      </c>
      <c r="D36" s="458">
        <f t="shared" si="3"/>
        <v>46815.49</v>
      </c>
      <c r="E36" s="458">
        <f t="shared" si="3"/>
        <v>51747.520000000004</v>
      </c>
      <c r="F36" s="458">
        <f t="shared" si="3"/>
        <v>50486.159999999989</v>
      </c>
      <c r="G36" s="458">
        <f t="shared" si="3"/>
        <v>48819.970000000008</v>
      </c>
      <c r="H36" s="458">
        <f t="shared" si="3"/>
        <v>-1666.1900000000019</v>
      </c>
    </row>
    <row r="37" spans="1:8" x14ac:dyDescent="0.2">
      <c r="A37" s="459">
        <v>42923</v>
      </c>
      <c r="B37" s="451">
        <f>899.92+2410.56</f>
        <v>3310.48</v>
      </c>
      <c r="C37" s="451">
        <v>3059.59</v>
      </c>
      <c r="D37" s="451">
        <f>952.56+2445.69</f>
        <v>3398.25</v>
      </c>
      <c r="E37" s="451">
        <f>1313.52+1315.48</f>
        <v>2629</v>
      </c>
      <c r="F37" s="451">
        <v>3092.18</v>
      </c>
      <c r="G37" s="451">
        <v>2501.6799999999998</v>
      </c>
      <c r="H37" s="451">
        <f t="shared" si="2"/>
        <v>-590.5</v>
      </c>
    </row>
    <row r="38" spans="1:8" x14ac:dyDescent="0.2">
      <c r="A38" s="453">
        <v>42930</v>
      </c>
      <c r="B38" s="451">
        <v>2613.8200000000002</v>
      </c>
      <c r="C38" s="451">
        <v>4164.28</v>
      </c>
      <c r="D38" s="454">
        <v>3621.49</v>
      </c>
      <c r="E38" s="454">
        <v>3328.78</v>
      </c>
      <c r="F38" s="451">
        <v>4363</v>
      </c>
      <c r="G38" s="451">
        <v>3463.97</v>
      </c>
      <c r="H38" s="451">
        <f t="shared" si="2"/>
        <v>-899.0300000000002</v>
      </c>
    </row>
    <row r="39" spans="1:8" x14ac:dyDescent="0.2">
      <c r="A39" s="453">
        <v>42937</v>
      </c>
      <c r="B39" s="454">
        <v>2285.09</v>
      </c>
      <c r="C39" s="454">
        <v>3698.36</v>
      </c>
      <c r="D39" s="454">
        <v>3478.53</v>
      </c>
      <c r="E39" s="454">
        <v>4114.08</v>
      </c>
      <c r="F39" s="451">
        <v>3936.33</v>
      </c>
      <c r="G39" s="451">
        <v>3416.66</v>
      </c>
      <c r="H39" s="451">
        <f t="shared" si="2"/>
        <v>-519.67000000000007</v>
      </c>
    </row>
    <row r="40" spans="1:8" x14ac:dyDescent="0.2">
      <c r="A40" s="453">
        <v>42944</v>
      </c>
      <c r="B40" s="454">
        <v>1982.06</v>
      </c>
      <c r="C40" s="454">
        <v>3907.78</v>
      </c>
      <c r="D40" s="454">
        <v>3713.11</v>
      </c>
      <c r="E40" s="454">
        <v>4010.57</v>
      </c>
      <c r="F40" s="451">
        <v>3962.85</v>
      </c>
      <c r="G40" s="451">
        <v>3139.68</v>
      </c>
      <c r="H40" s="451">
        <f t="shared" si="2"/>
        <v>-823.17000000000007</v>
      </c>
    </row>
    <row r="41" spans="1:8" x14ac:dyDescent="0.2">
      <c r="A41" s="453">
        <v>42951</v>
      </c>
      <c r="B41" s="454">
        <v>2442</v>
      </c>
      <c r="C41" s="454">
        <v>3807.12</v>
      </c>
      <c r="D41" s="454">
        <v>3318.21</v>
      </c>
      <c r="E41" s="454">
        <v>3520.16</v>
      </c>
      <c r="F41" s="451">
        <v>3810.8</v>
      </c>
      <c r="G41" s="451">
        <v>3171.9</v>
      </c>
      <c r="H41" s="451">
        <f t="shared" si="2"/>
        <v>-638.90000000000009</v>
      </c>
    </row>
    <row r="42" spans="1:8" x14ac:dyDescent="0.2">
      <c r="A42" s="453">
        <v>42958</v>
      </c>
      <c r="B42" s="454">
        <v>2003.68</v>
      </c>
      <c r="C42" s="454">
        <v>3636.64</v>
      </c>
      <c r="D42" s="454">
        <v>2999.63</v>
      </c>
      <c r="E42" s="454">
        <v>3150.64</v>
      </c>
      <c r="F42" s="451">
        <v>3905.08</v>
      </c>
      <c r="G42" s="451">
        <v>3339.76</v>
      </c>
      <c r="H42" s="451">
        <f t="shared" si="2"/>
        <v>-565.31999999999971</v>
      </c>
    </row>
    <row r="43" spans="1:8" x14ac:dyDescent="0.2">
      <c r="A43" s="453">
        <v>42965</v>
      </c>
      <c r="B43" s="454">
        <v>1971.38</v>
      </c>
      <c r="C43" s="454">
        <v>3658.28</v>
      </c>
      <c r="D43" s="454">
        <v>4080.16</v>
      </c>
      <c r="E43" s="454">
        <v>3780.2</v>
      </c>
      <c r="F43" s="451">
        <v>3747.05</v>
      </c>
      <c r="G43" s="451">
        <v>3333.42</v>
      </c>
      <c r="H43" s="451">
        <f t="shared" si="2"/>
        <v>-413.63000000000011</v>
      </c>
    </row>
    <row r="44" spans="1:8" x14ac:dyDescent="0.2">
      <c r="A44" s="453">
        <v>42972</v>
      </c>
      <c r="B44" s="454">
        <v>2725.14</v>
      </c>
      <c r="C44" s="454">
        <v>4096.0200000000004</v>
      </c>
      <c r="D44" s="454">
        <v>4309.82</v>
      </c>
      <c r="E44" s="454">
        <v>3361.86</v>
      </c>
      <c r="F44" s="451">
        <v>3788.4</v>
      </c>
      <c r="G44" s="451">
        <v>3772.14</v>
      </c>
      <c r="H44" s="451">
        <f t="shared" si="2"/>
        <v>-16.260000000000218</v>
      </c>
    </row>
    <row r="45" spans="1:8" x14ac:dyDescent="0.2">
      <c r="A45" s="453">
        <v>42979</v>
      </c>
      <c r="B45" s="454">
        <v>2749.96</v>
      </c>
      <c r="C45" s="454">
        <v>3825.18</v>
      </c>
      <c r="D45" s="454">
        <v>3712.48</v>
      </c>
      <c r="E45" s="454">
        <v>3605.07</v>
      </c>
      <c r="F45" s="451">
        <v>3858.34</v>
      </c>
      <c r="G45" s="451">
        <v>3206</v>
      </c>
      <c r="H45" s="451">
        <f t="shared" si="2"/>
        <v>-652.34000000000015</v>
      </c>
    </row>
    <row r="46" spans="1:8" x14ac:dyDescent="0.2">
      <c r="A46" s="453">
        <v>42986</v>
      </c>
      <c r="B46" s="454">
        <v>2323.9</v>
      </c>
      <c r="C46" s="454">
        <v>2717.46</v>
      </c>
      <c r="D46" s="454">
        <v>3072.96</v>
      </c>
      <c r="E46" s="454">
        <f>753.86+2730.15</f>
        <v>3484.01</v>
      </c>
      <c r="F46" s="451">
        <v>3265.99</v>
      </c>
      <c r="G46" s="451">
        <v>2271.2199999999998</v>
      </c>
      <c r="H46" s="451">
        <f t="shared" si="2"/>
        <v>-994.77</v>
      </c>
    </row>
    <row r="47" spans="1:8" x14ac:dyDescent="0.2">
      <c r="A47" s="453">
        <v>42993</v>
      </c>
      <c r="B47" s="454">
        <v>2621.61</v>
      </c>
      <c r="C47" s="454">
        <v>3748.38</v>
      </c>
      <c r="D47" s="454">
        <v>3926.25</v>
      </c>
      <c r="E47" s="454">
        <v>3212.96</v>
      </c>
      <c r="F47" s="451">
        <v>3712.16</v>
      </c>
      <c r="G47" s="451">
        <v>2688.36</v>
      </c>
      <c r="H47" s="451">
        <f t="shared" si="2"/>
        <v>-1023.7999999999997</v>
      </c>
    </row>
    <row r="48" spans="1:8" x14ac:dyDescent="0.2">
      <c r="A48" s="453">
        <v>43000</v>
      </c>
      <c r="B48" s="454">
        <v>2394.14</v>
      </c>
      <c r="C48" s="454">
        <v>3766.8</v>
      </c>
      <c r="D48" s="454">
        <v>4164.1899999999996</v>
      </c>
      <c r="E48" s="454">
        <v>4004.92</v>
      </c>
      <c r="F48" s="451">
        <v>3509.17</v>
      </c>
      <c r="G48" s="451">
        <v>3180.04</v>
      </c>
      <c r="H48" s="451">
        <f t="shared" si="2"/>
        <v>-329.13000000000011</v>
      </c>
    </row>
    <row r="49" spans="1:8" ht="15" thickBot="1" x14ac:dyDescent="0.25">
      <c r="A49" s="453">
        <v>43007</v>
      </c>
      <c r="B49" s="455">
        <v>2669.64</v>
      </c>
      <c r="C49" s="455">
        <v>4136.58</v>
      </c>
      <c r="D49" s="455">
        <v>3566.31</v>
      </c>
      <c r="E49" s="455">
        <v>3837.41</v>
      </c>
      <c r="F49" s="456">
        <v>3803.3</v>
      </c>
      <c r="G49" s="456">
        <v>2437.88</v>
      </c>
      <c r="H49" s="451">
        <f t="shared" si="2"/>
        <v>-1365.42</v>
      </c>
    </row>
    <row r="50" spans="1:8" ht="16.5" thickBot="1" x14ac:dyDescent="0.25">
      <c r="A50" s="457" t="s">
        <v>291</v>
      </c>
      <c r="B50" s="458">
        <f>SUM(B37:B49)</f>
        <v>32092.899999999998</v>
      </c>
      <c r="C50" s="458">
        <f>SUM(C37:C49)</f>
        <v>48222.47</v>
      </c>
      <c r="D50" s="458">
        <f>SUM(D37:D49)</f>
        <v>47361.39</v>
      </c>
      <c r="E50" s="458">
        <f>SUM(E37:E49)</f>
        <v>46039.66</v>
      </c>
      <c r="F50" s="458">
        <f t="shared" ref="F50:H50" si="4">SUM(F37:F49)</f>
        <v>48754.649999999994</v>
      </c>
      <c r="G50" s="458">
        <f t="shared" si="4"/>
        <v>39922.71</v>
      </c>
      <c r="H50" s="458">
        <f t="shared" si="4"/>
        <v>-8831.9399999999987</v>
      </c>
    </row>
    <row r="51" spans="1:8" x14ac:dyDescent="0.2">
      <c r="A51" s="459">
        <v>43014</v>
      </c>
      <c r="B51" s="451">
        <v>3051.16</v>
      </c>
      <c r="C51" s="451">
        <v>4721</v>
      </c>
      <c r="D51" s="451">
        <f>1531.24+2227.04</f>
        <v>3758.2799999999997</v>
      </c>
      <c r="E51" s="451">
        <v>3921.83</v>
      </c>
      <c r="F51" s="451">
        <v>3911.96</v>
      </c>
      <c r="G51" s="451">
        <v>3047.82</v>
      </c>
      <c r="H51" s="451">
        <f t="shared" si="2"/>
        <v>-864.13999999999987</v>
      </c>
    </row>
    <row r="52" spans="1:8" x14ac:dyDescent="0.2">
      <c r="A52" s="453">
        <v>43021</v>
      </c>
      <c r="B52" s="454">
        <v>2579.96</v>
      </c>
      <c r="C52" s="454">
        <v>4035.24</v>
      </c>
      <c r="D52" s="454">
        <v>4232.92</v>
      </c>
      <c r="E52" s="454">
        <v>3403.46</v>
      </c>
      <c r="F52" s="451">
        <v>3093.5</v>
      </c>
      <c r="G52" s="451">
        <v>2010.94</v>
      </c>
      <c r="H52" s="451">
        <f t="shared" si="2"/>
        <v>-1082.56</v>
      </c>
    </row>
    <row r="53" spans="1:8" x14ac:dyDescent="0.2">
      <c r="A53" s="453">
        <v>43028</v>
      </c>
      <c r="B53" s="454">
        <v>3119.16</v>
      </c>
      <c r="C53" s="454">
        <v>2972.08</v>
      </c>
      <c r="D53" s="454">
        <v>3057.22</v>
      </c>
      <c r="E53" s="454">
        <v>3116.16</v>
      </c>
      <c r="F53" s="451">
        <v>4261.32</v>
      </c>
      <c r="G53" s="451">
        <v>3314.5</v>
      </c>
      <c r="H53" s="451">
        <f t="shared" si="2"/>
        <v>-946.81999999999971</v>
      </c>
    </row>
    <row r="54" spans="1:8" x14ac:dyDescent="0.2">
      <c r="A54" s="453">
        <v>43035</v>
      </c>
      <c r="B54" s="454">
        <v>2378.1999999999998</v>
      </c>
      <c r="C54" s="454">
        <v>3341.66</v>
      </c>
      <c r="D54" s="454">
        <v>3745.65</v>
      </c>
      <c r="E54" s="454">
        <v>3664.58</v>
      </c>
      <c r="F54" s="451">
        <v>3860.55</v>
      </c>
      <c r="G54" s="451">
        <v>2905</v>
      </c>
      <c r="H54" s="451">
        <f t="shared" si="2"/>
        <v>-955.55000000000018</v>
      </c>
    </row>
    <row r="55" spans="1:8" x14ac:dyDescent="0.2">
      <c r="A55" s="453">
        <v>43042</v>
      </c>
      <c r="B55" s="454">
        <v>2153.36</v>
      </c>
      <c r="C55" s="454">
        <v>3165.08</v>
      </c>
      <c r="D55" s="454">
        <f>3171.04+47.44+30.24</f>
        <v>3248.72</v>
      </c>
      <c r="E55" s="454">
        <v>3792.71</v>
      </c>
      <c r="F55" s="451">
        <v>3942.48</v>
      </c>
      <c r="G55" s="451">
        <v>3169.18</v>
      </c>
      <c r="H55" s="451">
        <f t="shared" si="2"/>
        <v>-773.30000000000018</v>
      </c>
    </row>
    <row r="56" spans="1:8" x14ac:dyDescent="0.2">
      <c r="A56" s="453">
        <v>43049</v>
      </c>
      <c r="B56" s="454">
        <v>1549.7</v>
      </c>
      <c r="C56" s="454">
        <v>3024.18</v>
      </c>
      <c r="D56" s="454">
        <v>3967.37</v>
      </c>
      <c r="E56" s="454">
        <v>3804.52</v>
      </c>
      <c r="F56" s="451">
        <v>3933.48</v>
      </c>
      <c r="G56" s="451">
        <v>2670.04</v>
      </c>
      <c r="H56" s="451">
        <f t="shared" si="2"/>
        <v>-1263.44</v>
      </c>
    </row>
    <row r="57" spans="1:8" x14ac:dyDescent="0.2">
      <c r="A57" s="453">
        <v>43056</v>
      </c>
      <c r="B57" s="454">
        <f>(5311.2-178.1)*0.5</f>
        <v>2566.5499999999997</v>
      </c>
      <c r="C57" s="454">
        <v>3500.86</v>
      </c>
      <c r="D57" s="454">
        <v>4007.55</v>
      </c>
      <c r="E57" s="454">
        <v>3693.64</v>
      </c>
      <c r="F57" s="451">
        <v>3860.4</v>
      </c>
      <c r="G57" s="451">
        <v>2400.7199999999998</v>
      </c>
      <c r="H57" s="451">
        <f t="shared" si="2"/>
        <v>-1459.6800000000003</v>
      </c>
    </row>
    <row r="58" spans="1:8" x14ac:dyDescent="0.2">
      <c r="A58" s="453">
        <v>43063</v>
      </c>
      <c r="B58" s="454">
        <f>(5311.2-178.1)*0.5</f>
        <v>2566.5499999999997</v>
      </c>
      <c r="C58" s="454">
        <v>4015.8</v>
      </c>
      <c r="D58" s="454">
        <v>4445.62</v>
      </c>
      <c r="E58" s="454">
        <v>3499.88</v>
      </c>
      <c r="F58" s="451">
        <v>1675.8</v>
      </c>
      <c r="G58" s="451">
        <v>1268.44</v>
      </c>
      <c r="H58" s="451">
        <f t="shared" si="2"/>
        <v>-407.3599999999999</v>
      </c>
    </row>
    <row r="59" spans="1:8" x14ac:dyDescent="0.2">
      <c r="A59" s="453">
        <v>43070</v>
      </c>
      <c r="B59" s="454">
        <v>3577.34</v>
      </c>
      <c r="C59" s="454">
        <v>2434.3200000000002</v>
      </c>
      <c r="D59" s="454">
        <v>1953.09</v>
      </c>
      <c r="E59" s="454">
        <v>2000.54</v>
      </c>
      <c r="F59" s="451">
        <v>3669.06</v>
      </c>
      <c r="G59" s="451">
        <v>2816.72</v>
      </c>
      <c r="H59" s="451">
        <f t="shared" si="2"/>
        <v>-852.34000000000015</v>
      </c>
    </row>
    <row r="60" spans="1:8" x14ac:dyDescent="0.2">
      <c r="A60" s="453">
        <v>43077</v>
      </c>
      <c r="B60" s="454">
        <v>3486.12</v>
      </c>
      <c r="C60" s="454">
        <v>3291.9</v>
      </c>
      <c r="D60" s="454">
        <v>3710.06</v>
      </c>
      <c r="E60" s="454">
        <f>2372.46+627.88</f>
        <v>3000.34</v>
      </c>
      <c r="F60" s="451">
        <v>3225.52</v>
      </c>
      <c r="G60" s="451">
        <v>2427</v>
      </c>
      <c r="H60" s="451">
        <f t="shared" si="2"/>
        <v>-798.52</v>
      </c>
    </row>
    <row r="61" spans="1:8" x14ac:dyDescent="0.2">
      <c r="A61" s="453">
        <v>43084</v>
      </c>
      <c r="B61" s="454">
        <v>3539.16</v>
      </c>
      <c r="C61" s="454">
        <v>4047.94</v>
      </c>
      <c r="D61" s="454">
        <v>3873.59</v>
      </c>
      <c r="E61" s="454">
        <v>4104.09</v>
      </c>
      <c r="F61" s="451">
        <v>2933.78</v>
      </c>
      <c r="G61" s="451">
        <v>2427</v>
      </c>
      <c r="H61" s="451">
        <f t="shared" si="2"/>
        <v>-506.7800000000002</v>
      </c>
    </row>
    <row r="62" spans="1:8" x14ac:dyDescent="0.2">
      <c r="A62" s="453">
        <v>43091</v>
      </c>
      <c r="B62" s="454">
        <v>1609.64</v>
      </c>
      <c r="C62" s="454">
        <v>3903.54</v>
      </c>
      <c r="D62" s="454">
        <v>3580.24</v>
      </c>
      <c r="E62" s="454">
        <v>3625.1</v>
      </c>
      <c r="F62" s="451">
        <v>3555.5</v>
      </c>
      <c r="G62" s="451">
        <v>2649.12</v>
      </c>
      <c r="H62" s="451">
        <f t="shared" si="2"/>
        <v>-906.38000000000011</v>
      </c>
    </row>
    <row r="63" spans="1:8" ht="15" thickBot="1" x14ac:dyDescent="0.25">
      <c r="A63" s="460">
        <v>43098</v>
      </c>
      <c r="B63" s="461">
        <v>5154.84</v>
      </c>
      <c r="C63" s="461">
        <v>2331.48</v>
      </c>
      <c r="D63" s="461">
        <v>2383.63</v>
      </c>
      <c r="E63" s="461">
        <v>2256.69</v>
      </c>
      <c r="F63" s="462">
        <v>2486.06</v>
      </c>
      <c r="G63" s="462">
        <v>2088.3000000000002</v>
      </c>
      <c r="H63" s="451">
        <f t="shared" si="2"/>
        <v>-397.75999999999976</v>
      </c>
    </row>
    <row r="64" spans="1:8" ht="16.5" thickBot="1" x14ac:dyDescent="0.25">
      <c r="A64" s="457" t="s">
        <v>292</v>
      </c>
      <c r="B64" s="458">
        <f>SUM(B51:B63)</f>
        <v>37331.74</v>
      </c>
      <c r="C64" s="458">
        <f>SUM(C51:C63)</f>
        <v>44785.08</v>
      </c>
      <c r="D64" s="458">
        <f>SUM(D51:D63)</f>
        <v>45963.939999999988</v>
      </c>
      <c r="E64" s="458">
        <f>SUM(E51:E63)</f>
        <v>43883.54</v>
      </c>
      <c r="F64" s="458">
        <f>SUM(F51:F63)</f>
        <v>44409.409999999996</v>
      </c>
      <c r="G64" s="458">
        <f t="shared" ref="G64" si="5">SUM(G51:G63)</f>
        <v>33194.78</v>
      </c>
      <c r="H64" s="458">
        <f>SUM(H51:H63)</f>
        <v>-11214.63</v>
      </c>
    </row>
    <row r="65" spans="1:8" ht="15.75" x14ac:dyDescent="0.25">
      <c r="A65" s="463" t="s">
        <v>293</v>
      </c>
      <c r="B65" s="464">
        <f t="shared" ref="B65:H65" si="6">SUM(B9:B63)-B22-B36-B50</f>
        <v>139328.74</v>
      </c>
      <c r="C65" s="464">
        <f t="shared" si="6"/>
        <v>199253.05999999985</v>
      </c>
      <c r="D65" s="464">
        <f t="shared" si="6"/>
        <v>184010.66000000003</v>
      </c>
      <c r="E65" s="464">
        <f t="shared" si="6"/>
        <v>185097.12000000014</v>
      </c>
      <c r="F65" s="464">
        <f t="shared" si="6"/>
        <v>194384.88000000003</v>
      </c>
      <c r="G65" s="464">
        <f t="shared" si="6"/>
        <v>157031.36999999994</v>
      </c>
      <c r="H65" s="464">
        <f t="shared" si="6"/>
        <v>-37353.509999999995</v>
      </c>
    </row>
    <row r="66" spans="1:8" x14ac:dyDescent="0.2">
      <c r="A66" s="3" t="s">
        <v>294</v>
      </c>
      <c r="B66" s="465">
        <f t="shared" ref="B66:G66" si="7">AVERAGE(B9:B21)</f>
        <v>2043.7076923076925</v>
      </c>
      <c r="C66" s="466">
        <f t="shared" si="7"/>
        <v>3924.3692307692318</v>
      </c>
      <c r="D66" s="466">
        <f t="shared" si="7"/>
        <v>3374.6030769230765</v>
      </c>
      <c r="E66" s="466">
        <f t="shared" si="7"/>
        <v>3340.4923076923073</v>
      </c>
      <c r="F66" s="466">
        <f t="shared" si="7"/>
        <v>3902.6661538461535</v>
      </c>
      <c r="G66" s="465">
        <f t="shared" si="7"/>
        <v>2699.5315384615378</v>
      </c>
      <c r="H66" s="467">
        <f>G66-F66</f>
        <v>-1203.1346153846157</v>
      </c>
    </row>
    <row r="67" spans="1:8" x14ac:dyDescent="0.2">
      <c r="A67" s="3" t="s">
        <v>295</v>
      </c>
      <c r="B67" s="468">
        <f t="shared" ref="B67:G67" si="8">AVERAGE(B23:B35)</f>
        <v>3333.5307692307692</v>
      </c>
      <c r="C67" s="469">
        <f t="shared" si="8"/>
        <v>4248.3623076923086</v>
      </c>
      <c r="D67" s="469">
        <f t="shared" si="8"/>
        <v>3601.1915384615381</v>
      </c>
      <c r="E67" s="469">
        <f t="shared" si="8"/>
        <v>3980.5784615384619</v>
      </c>
      <c r="F67" s="469">
        <f t="shared" si="8"/>
        <v>3883.5507692307683</v>
      </c>
      <c r="G67" s="468">
        <f t="shared" si="8"/>
        <v>3755.3823076923081</v>
      </c>
      <c r="H67" s="470">
        <f>G67-F67</f>
        <v>-128.16846153846018</v>
      </c>
    </row>
    <row r="68" spans="1:8" x14ac:dyDescent="0.2">
      <c r="A68" s="3" t="s">
        <v>296</v>
      </c>
      <c r="B68" s="468">
        <f t="shared" ref="B68:F68" si="9">AVERAGE(B37:B49)</f>
        <v>2468.6846153846154</v>
      </c>
      <c r="C68" s="469">
        <f t="shared" si="9"/>
        <v>3709.4207692307691</v>
      </c>
      <c r="D68" s="469">
        <f t="shared" si="9"/>
        <v>3643.1838461538459</v>
      </c>
      <c r="E68" s="469">
        <f t="shared" si="9"/>
        <v>3541.5123076923078</v>
      </c>
      <c r="F68" s="469">
        <f t="shared" si="9"/>
        <v>3750.3576923076917</v>
      </c>
      <c r="G68" s="469">
        <f>AVERAGE(G37:G49)</f>
        <v>3070.9776923076925</v>
      </c>
      <c r="H68" s="470">
        <f>G68-F68</f>
        <v>-679.3799999999992</v>
      </c>
    </row>
    <row r="69" spans="1:8" x14ac:dyDescent="0.2">
      <c r="A69" s="3" t="s">
        <v>297</v>
      </c>
      <c r="B69" s="471">
        <f t="shared" ref="B69:G69" si="10">AVERAGE(B51:B63)</f>
        <v>2871.6723076923076</v>
      </c>
      <c r="C69" s="472">
        <f t="shared" si="10"/>
        <v>3445.0061538461541</v>
      </c>
      <c r="D69" s="472">
        <f t="shared" si="10"/>
        <v>3535.6876923076916</v>
      </c>
      <c r="E69" s="473">
        <f t="shared" si="10"/>
        <v>3375.6569230769232</v>
      </c>
      <c r="F69" s="473">
        <f t="shared" si="10"/>
        <v>3416.1084615384611</v>
      </c>
      <c r="G69" s="473">
        <f t="shared" si="10"/>
        <v>2553.4446153846152</v>
      </c>
      <c r="H69" s="474">
        <f>G69-F69</f>
        <v>-862.66384615384595</v>
      </c>
    </row>
    <row r="71" spans="1:8" x14ac:dyDescent="0.2">
      <c r="H71" s="258"/>
    </row>
    <row r="74" spans="1:8" x14ac:dyDescent="0.2">
      <c r="C74" s="21"/>
    </row>
    <row r="75" spans="1:8" x14ac:dyDescent="0.2">
      <c r="C75" s="21"/>
    </row>
  </sheetData>
  <mergeCells count="1">
    <mergeCell ref="A5:H5"/>
  </mergeCells>
  <pageMargins left="1.2" right="0.2" top="0.25" bottom="0.5" header="0.3" footer="0.3"/>
  <pageSetup scale="74"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EM78"/>
  <sheetViews>
    <sheetView workbookViewId="0">
      <selection activeCell="J10" sqref="J10:J14"/>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4.625" style="45" customWidth="1"/>
    <col min="7" max="7" width="23" style="190" customWidth="1"/>
    <col min="191" max="191" width="2.875" customWidth="1"/>
    <col min="192" max="192" width="8.125" customWidth="1"/>
    <col min="193" max="193" width="8.75" customWidth="1"/>
    <col min="194" max="194" width="11" customWidth="1"/>
    <col min="195" max="195" width="2.875" customWidth="1"/>
    <col min="196" max="196" width="77.625" customWidth="1"/>
    <col min="197" max="197" width="20.875" customWidth="1"/>
    <col min="447" max="447" width="2.875" customWidth="1"/>
    <col min="448" max="448" width="8.125" customWidth="1"/>
    <col min="449" max="449" width="8.75" customWidth="1"/>
    <col min="450" max="450" width="11" customWidth="1"/>
    <col min="451" max="451" width="2.875" customWidth="1"/>
    <col min="452" max="452" width="77.625" customWidth="1"/>
    <col min="453" max="453" width="20.875" customWidth="1"/>
    <col min="703" max="703" width="2.875" customWidth="1"/>
    <col min="704" max="704" width="8.125" customWidth="1"/>
    <col min="705" max="705" width="8.75" customWidth="1"/>
    <col min="706" max="706" width="11" customWidth="1"/>
    <col min="707" max="707" width="2.875" customWidth="1"/>
    <col min="708" max="708" width="77.625" customWidth="1"/>
    <col min="709" max="709" width="20.875" customWidth="1"/>
    <col min="959" max="959" width="2.875" customWidth="1"/>
    <col min="960" max="960" width="8.125" customWidth="1"/>
    <col min="961" max="961" width="8.75" customWidth="1"/>
    <col min="962" max="962" width="11" customWidth="1"/>
    <col min="963" max="963" width="2.875" customWidth="1"/>
    <col min="964" max="964" width="77.625" customWidth="1"/>
    <col min="965" max="965" width="20.875" customWidth="1"/>
    <col min="1215" max="1215" width="2.875" customWidth="1"/>
    <col min="1216" max="1216" width="8.125" customWidth="1"/>
    <col min="1217" max="1217" width="8.75" customWidth="1"/>
    <col min="1218" max="1218" width="11" customWidth="1"/>
    <col min="1219" max="1219" width="2.875" customWidth="1"/>
    <col min="1220" max="1220" width="77.625" customWidth="1"/>
    <col min="1221" max="1221" width="20.875" customWidth="1"/>
    <col min="1471" max="1471" width="2.875" customWidth="1"/>
    <col min="1472" max="1472" width="8.125" customWidth="1"/>
    <col min="1473" max="1473" width="8.75" customWidth="1"/>
    <col min="1474" max="1474" width="11" customWidth="1"/>
    <col min="1475" max="1475" width="2.875" customWidth="1"/>
    <col min="1476" max="1476" width="77.625" customWidth="1"/>
    <col min="1477" max="1477" width="20.875" customWidth="1"/>
    <col min="1727" max="1727" width="2.875" customWidth="1"/>
    <col min="1728" max="1728" width="8.125" customWidth="1"/>
    <col min="1729" max="1729" width="8.75" customWidth="1"/>
    <col min="1730" max="1730" width="11" customWidth="1"/>
    <col min="1731" max="1731" width="2.875" customWidth="1"/>
    <col min="1732" max="1732" width="77.625" customWidth="1"/>
    <col min="1733" max="1733" width="20.875" customWidth="1"/>
    <col min="1983" max="1983" width="2.875" customWidth="1"/>
    <col min="1984" max="1984" width="8.125" customWidth="1"/>
    <col min="1985" max="1985" width="8.75" customWidth="1"/>
    <col min="1986" max="1986" width="11" customWidth="1"/>
    <col min="1987" max="1987" width="2.875" customWidth="1"/>
    <col min="1988" max="1988" width="77.625" customWidth="1"/>
    <col min="1989" max="1989" width="20.875" customWidth="1"/>
    <col min="2239" max="2239" width="2.875" customWidth="1"/>
    <col min="2240" max="2240" width="8.125" customWidth="1"/>
    <col min="2241" max="2241" width="8.75" customWidth="1"/>
    <col min="2242" max="2242" width="11" customWidth="1"/>
    <col min="2243" max="2243" width="2.875" customWidth="1"/>
    <col min="2244" max="2244" width="77.625" customWidth="1"/>
    <col min="2245" max="2245" width="20.875" customWidth="1"/>
    <col min="2495" max="2495" width="2.875" customWidth="1"/>
    <col min="2496" max="2496" width="8.125" customWidth="1"/>
    <col min="2497" max="2497" width="8.75" customWidth="1"/>
    <col min="2498" max="2498" width="11" customWidth="1"/>
    <col min="2499" max="2499" width="2.875" customWidth="1"/>
    <col min="2500" max="2500" width="77.625" customWidth="1"/>
    <col min="2501" max="2501" width="20.875" customWidth="1"/>
    <col min="2751" max="2751" width="2.875" customWidth="1"/>
    <col min="2752" max="2752" width="8.125" customWidth="1"/>
    <col min="2753" max="2753" width="8.75" customWidth="1"/>
    <col min="2754" max="2754" width="11" customWidth="1"/>
    <col min="2755" max="2755" width="2.875" customWidth="1"/>
    <col min="2756" max="2756" width="77.625" customWidth="1"/>
    <col min="2757" max="2757" width="20.875" customWidth="1"/>
    <col min="3007" max="3007" width="2.875" customWidth="1"/>
    <col min="3008" max="3008" width="8.125" customWidth="1"/>
    <col min="3009" max="3009" width="8.75" customWidth="1"/>
    <col min="3010" max="3010" width="11" customWidth="1"/>
    <col min="3011" max="3011" width="2.875" customWidth="1"/>
    <col min="3012" max="3012" width="77.625" customWidth="1"/>
    <col min="3013" max="3013" width="20.875" customWidth="1"/>
    <col min="3263" max="3263" width="2.875" customWidth="1"/>
    <col min="3264" max="3264" width="8.125" customWidth="1"/>
    <col min="3265" max="3265" width="8.75" customWidth="1"/>
    <col min="3266" max="3266" width="11" customWidth="1"/>
    <col min="3267" max="3267" width="2.875" customWidth="1"/>
    <col min="3268" max="3268" width="77.625" customWidth="1"/>
    <col min="3269" max="3269" width="20.875" customWidth="1"/>
    <col min="3519" max="3519" width="2.875" customWidth="1"/>
    <col min="3520" max="3520" width="8.125" customWidth="1"/>
    <col min="3521" max="3521" width="8.75" customWidth="1"/>
    <col min="3522" max="3522" width="11" customWidth="1"/>
    <col min="3523" max="3523" width="2.875" customWidth="1"/>
    <col min="3524" max="3524" width="77.625" customWidth="1"/>
    <col min="3525" max="3525" width="20.875" customWidth="1"/>
    <col min="3775" max="3775" width="2.875" customWidth="1"/>
    <col min="3776" max="3776" width="8.125" customWidth="1"/>
    <col min="3777" max="3777" width="8.75" customWidth="1"/>
    <col min="3778" max="3778" width="11" customWidth="1"/>
    <col min="3779" max="3779" width="2.875" customWidth="1"/>
    <col min="3780" max="3780" width="77.625" customWidth="1"/>
    <col min="3781" max="3781" width="20.875" customWidth="1"/>
    <col min="4031" max="4031" width="2.875" customWidth="1"/>
    <col min="4032" max="4032" width="8.125" customWidth="1"/>
    <col min="4033" max="4033" width="8.75" customWidth="1"/>
    <col min="4034" max="4034" width="11" customWidth="1"/>
    <col min="4035" max="4035" width="2.875" customWidth="1"/>
    <col min="4036" max="4036" width="77.625" customWidth="1"/>
    <col min="4037" max="4037" width="20.875" customWidth="1"/>
    <col min="4287" max="4287" width="2.875" customWidth="1"/>
    <col min="4288" max="4288" width="8.125" customWidth="1"/>
    <col min="4289" max="4289" width="8.75" customWidth="1"/>
    <col min="4290" max="4290" width="11" customWidth="1"/>
    <col min="4291" max="4291" width="2.875" customWidth="1"/>
    <col min="4292" max="4292" width="77.625" customWidth="1"/>
    <col min="4293" max="4293" width="20.875" customWidth="1"/>
    <col min="4543" max="4543" width="2.875" customWidth="1"/>
    <col min="4544" max="4544" width="8.125" customWidth="1"/>
    <col min="4545" max="4545" width="8.75" customWidth="1"/>
    <col min="4546" max="4546" width="11" customWidth="1"/>
    <col min="4547" max="4547" width="2.875" customWidth="1"/>
    <col min="4548" max="4548" width="77.625" customWidth="1"/>
    <col min="4549" max="4549" width="20.875" customWidth="1"/>
    <col min="4799" max="4799" width="2.875" customWidth="1"/>
    <col min="4800" max="4800" width="8.125" customWidth="1"/>
    <col min="4801" max="4801" width="8.75" customWidth="1"/>
    <col min="4802" max="4802" width="11" customWidth="1"/>
    <col min="4803" max="4803" width="2.875" customWidth="1"/>
    <col min="4804" max="4804" width="77.625" customWidth="1"/>
    <col min="4805" max="4805" width="20.875" customWidth="1"/>
    <col min="5055" max="5055" width="2.875" customWidth="1"/>
    <col min="5056" max="5056" width="8.125" customWidth="1"/>
    <col min="5057" max="5057" width="8.75" customWidth="1"/>
    <col min="5058" max="5058" width="11" customWidth="1"/>
    <col min="5059" max="5059" width="2.875" customWidth="1"/>
    <col min="5060" max="5060" width="77.625" customWidth="1"/>
    <col min="5061" max="5061" width="20.875" customWidth="1"/>
    <col min="5311" max="5311" width="2.875" customWidth="1"/>
    <col min="5312" max="5312" width="8.125" customWidth="1"/>
    <col min="5313" max="5313" width="8.75" customWidth="1"/>
    <col min="5314" max="5314" width="11" customWidth="1"/>
    <col min="5315" max="5315" width="2.875" customWidth="1"/>
    <col min="5316" max="5316" width="77.625" customWidth="1"/>
    <col min="5317" max="5317" width="20.875" customWidth="1"/>
    <col min="5567" max="5567" width="2.875" customWidth="1"/>
    <col min="5568" max="5568" width="8.125" customWidth="1"/>
    <col min="5569" max="5569" width="8.75" customWidth="1"/>
    <col min="5570" max="5570" width="11" customWidth="1"/>
    <col min="5571" max="5571" width="2.875" customWidth="1"/>
    <col min="5572" max="5572" width="77.625" customWidth="1"/>
    <col min="5573" max="5573" width="20.875" customWidth="1"/>
    <col min="5823" max="5823" width="2.875" customWidth="1"/>
    <col min="5824" max="5824" width="8.125" customWidth="1"/>
    <col min="5825" max="5825" width="8.75" customWidth="1"/>
    <col min="5826" max="5826" width="11" customWidth="1"/>
    <col min="5827" max="5827" width="2.875" customWidth="1"/>
    <col min="5828" max="5828" width="77.625" customWidth="1"/>
    <col min="5829" max="5829" width="20.875" customWidth="1"/>
    <col min="6079" max="6079" width="2.875" customWidth="1"/>
    <col min="6080" max="6080" width="8.125" customWidth="1"/>
    <col min="6081" max="6081" width="8.75" customWidth="1"/>
    <col min="6082" max="6082" width="11" customWidth="1"/>
    <col min="6083" max="6083" width="2.875" customWidth="1"/>
    <col min="6084" max="6084" width="77.625" customWidth="1"/>
    <col min="6085" max="6085" width="20.875" customWidth="1"/>
    <col min="6335" max="6335" width="2.875" customWidth="1"/>
    <col min="6336" max="6336" width="8.125" customWidth="1"/>
    <col min="6337" max="6337" width="8.75" customWidth="1"/>
    <col min="6338" max="6338" width="11" customWidth="1"/>
    <col min="6339" max="6339" width="2.875" customWidth="1"/>
    <col min="6340" max="6340" width="77.625" customWidth="1"/>
    <col min="6341" max="6341" width="20.875" customWidth="1"/>
    <col min="6591" max="6591" width="2.875" customWidth="1"/>
    <col min="6592" max="6592" width="8.125" customWidth="1"/>
    <col min="6593" max="6593" width="8.75" customWidth="1"/>
    <col min="6594" max="6594" width="11" customWidth="1"/>
    <col min="6595" max="6595" width="2.875" customWidth="1"/>
    <col min="6596" max="6596" width="77.625" customWidth="1"/>
    <col min="6597" max="6597" width="20.875" customWidth="1"/>
    <col min="6847" max="6847" width="2.875" customWidth="1"/>
    <col min="6848" max="6848" width="8.125" customWidth="1"/>
    <col min="6849" max="6849" width="8.75" customWidth="1"/>
    <col min="6850" max="6850" width="11" customWidth="1"/>
    <col min="6851" max="6851" width="2.875" customWidth="1"/>
    <col min="6852" max="6852" width="77.625" customWidth="1"/>
    <col min="6853" max="6853" width="20.875" customWidth="1"/>
    <col min="7103" max="7103" width="2.875" customWidth="1"/>
    <col min="7104" max="7104" width="8.125" customWidth="1"/>
    <col min="7105" max="7105" width="8.75" customWidth="1"/>
    <col min="7106" max="7106" width="11" customWidth="1"/>
    <col min="7107" max="7107" width="2.875" customWidth="1"/>
    <col min="7108" max="7108" width="77.625" customWidth="1"/>
    <col min="7109" max="7109" width="20.875" customWidth="1"/>
    <col min="7359" max="7359" width="2.875" customWidth="1"/>
    <col min="7360" max="7360" width="8.125" customWidth="1"/>
    <col min="7361" max="7361" width="8.75" customWidth="1"/>
    <col min="7362" max="7362" width="11" customWidth="1"/>
    <col min="7363" max="7363" width="2.875" customWidth="1"/>
    <col min="7364" max="7364" width="77.625" customWidth="1"/>
    <col min="7365" max="7365" width="20.875" customWidth="1"/>
    <col min="7615" max="7615" width="2.875" customWidth="1"/>
    <col min="7616" max="7616" width="8.125" customWidth="1"/>
    <col min="7617" max="7617" width="8.75" customWidth="1"/>
    <col min="7618" max="7618" width="11" customWidth="1"/>
    <col min="7619" max="7619" width="2.875" customWidth="1"/>
    <col min="7620" max="7620" width="77.625" customWidth="1"/>
    <col min="7621" max="7621" width="20.875" customWidth="1"/>
    <col min="7871" max="7871" width="2.875" customWidth="1"/>
    <col min="7872" max="7872" width="8.125" customWidth="1"/>
    <col min="7873" max="7873" width="8.75" customWidth="1"/>
    <col min="7874" max="7874" width="11" customWidth="1"/>
    <col min="7875" max="7875" width="2.875" customWidth="1"/>
    <col min="7876" max="7876" width="77.625" customWidth="1"/>
    <col min="7877" max="7877" width="20.875" customWidth="1"/>
    <col min="8127" max="8127" width="2.875" customWidth="1"/>
    <col min="8128" max="8128" width="8.125" customWidth="1"/>
    <col min="8129" max="8129" width="8.75" customWidth="1"/>
    <col min="8130" max="8130" width="11" customWidth="1"/>
    <col min="8131" max="8131" width="2.875" customWidth="1"/>
    <col min="8132" max="8132" width="77.625" customWidth="1"/>
    <col min="8133" max="8133" width="20.875" customWidth="1"/>
    <col min="8383" max="8383" width="2.875" customWidth="1"/>
    <col min="8384" max="8384" width="8.125" customWidth="1"/>
    <col min="8385" max="8385" width="8.75" customWidth="1"/>
    <col min="8386" max="8386" width="11" customWidth="1"/>
    <col min="8387" max="8387" width="2.875" customWidth="1"/>
    <col min="8388" max="8388" width="77.625" customWidth="1"/>
    <col min="8389" max="8389" width="20.875" customWidth="1"/>
    <col min="8639" max="8639" width="2.875" customWidth="1"/>
    <col min="8640" max="8640" width="8.125" customWidth="1"/>
    <col min="8641" max="8641" width="8.75" customWidth="1"/>
    <col min="8642" max="8642" width="11" customWidth="1"/>
    <col min="8643" max="8643" width="2.875" customWidth="1"/>
    <col min="8644" max="8644" width="77.625" customWidth="1"/>
    <col min="8645" max="8645" width="20.875" customWidth="1"/>
    <col min="8895" max="8895" width="2.875" customWidth="1"/>
    <col min="8896" max="8896" width="8.125" customWidth="1"/>
    <col min="8897" max="8897" width="8.75" customWidth="1"/>
    <col min="8898" max="8898" width="11" customWidth="1"/>
    <col min="8899" max="8899" width="2.875" customWidth="1"/>
    <col min="8900" max="8900" width="77.625" customWidth="1"/>
    <col min="8901" max="8901" width="20.875" customWidth="1"/>
    <col min="9151" max="9151" width="2.875" customWidth="1"/>
    <col min="9152" max="9152" width="8.125" customWidth="1"/>
    <col min="9153" max="9153" width="8.75" customWidth="1"/>
    <col min="9154" max="9154" width="11" customWidth="1"/>
    <col min="9155" max="9155" width="2.875" customWidth="1"/>
    <col min="9156" max="9156" width="77.625" customWidth="1"/>
    <col min="9157" max="9157" width="20.875" customWidth="1"/>
    <col min="9407" max="9407" width="2.875" customWidth="1"/>
    <col min="9408" max="9408" width="8.125" customWidth="1"/>
    <col min="9409" max="9409" width="8.75" customWidth="1"/>
    <col min="9410" max="9410" width="11" customWidth="1"/>
    <col min="9411" max="9411" width="2.875" customWidth="1"/>
    <col min="9412" max="9412" width="77.625" customWidth="1"/>
    <col min="9413" max="9413" width="20.875" customWidth="1"/>
    <col min="9663" max="9663" width="2.875" customWidth="1"/>
    <col min="9664" max="9664" width="8.125" customWidth="1"/>
    <col min="9665" max="9665" width="8.75" customWidth="1"/>
    <col min="9666" max="9666" width="11" customWidth="1"/>
    <col min="9667" max="9667" width="2.875" customWidth="1"/>
    <col min="9668" max="9668" width="77.625" customWidth="1"/>
    <col min="9669" max="9669" width="20.875" customWidth="1"/>
    <col min="9919" max="9919" width="2.875" customWidth="1"/>
    <col min="9920" max="9920" width="8.125" customWidth="1"/>
    <col min="9921" max="9921" width="8.75" customWidth="1"/>
    <col min="9922" max="9922" width="11" customWidth="1"/>
    <col min="9923" max="9923" width="2.875" customWidth="1"/>
    <col min="9924" max="9924" width="77.625" customWidth="1"/>
    <col min="9925" max="9925" width="20.875" customWidth="1"/>
    <col min="10175" max="10175" width="2.875" customWidth="1"/>
    <col min="10176" max="10176" width="8.125" customWidth="1"/>
    <col min="10177" max="10177" width="8.75" customWidth="1"/>
    <col min="10178" max="10178" width="11" customWidth="1"/>
    <col min="10179" max="10179" width="2.875" customWidth="1"/>
    <col min="10180" max="10180" width="77.625" customWidth="1"/>
    <col min="10181" max="10181" width="20.875" customWidth="1"/>
    <col min="10431" max="10431" width="2.875" customWidth="1"/>
    <col min="10432" max="10432" width="8.125" customWidth="1"/>
    <col min="10433" max="10433" width="8.75" customWidth="1"/>
    <col min="10434" max="10434" width="11" customWidth="1"/>
    <col min="10435" max="10435" width="2.875" customWidth="1"/>
    <col min="10436" max="10436" width="77.625" customWidth="1"/>
    <col min="10437" max="10437" width="20.875" customWidth="1"/>
    <col min="10687" max="10687" width="2.875" customWidth="1"/>
    <col min="10688" max="10688" width="8.125" customWidth="1"/>
    <col min="10689" max="10689" width="8.75" customWidth="1"/>
    <col min="10690" max="10690" width="11" customWidth="1"/>
    <col min="10691" max="10691" width="2.875" customWidth="1"/>
    <col min="10692" max="10692" width="77.625" customWidth="1"/>
    <col min="10693" max="10693" width="20.875" customWidth="1"/>
    <col min="10943" max="10943" width="2.875" customWidth="1"/>
    <col min="10944" max="10944" width="8.125" customWidth="1"/>
    <col min="10945" max="10945" width="8.75" customWidth="1"/>
    <col min="10946" max="10946" width="11" customWidth="1"/>
    <col min="10947" max="10947" width="2.875" customWidth="1"/>
    <col min="10948" max="10948" width="77.625" customWidth="1"/>
    <col min="10949" max="10949" width="20.875" customWidth="1"/>
    <col min="11199" max="11199" width="2.875" customWidth="1"/>
    <col min="11200" max="11200" width="8.125" customWidth="1"/>
    <col min="11201" max="11201" width="8.75" customWidth="1"/>
    <col min="11202" max="11202" width="11" customWidth="1"/>
    <col min="11203" max="11203" width="2.875" customWidth="1"/>
    <col min="11204" max="11204" width="77.625" customWidth="1"/>
    <col min="11205" max="11205" width="20.875" customWidth="1"/>
    <col min="11455" max="11455" width="2.875" customWidth="1"/>
    <col min="11456" max="11456" width="8.125" customWidth="1"/>
    <col min="11457" max="11457" width="8.75" customWidth="1"/>
    <col min="11458" max="11458" width="11" customWidth="1"/>
    <col min="11459" max="11459" width="2.875" customWidth="1"/>
    <col min="11460" max="11460" width="77.625" customWidth="1"/>
    <col min="11461" max="11461" width="20.875" customWidth="1"/>
    <col min="11711" max="11711" width="2.875" customWidth="1"/>
    <col min="11712" max="11712" width="8.125" customWidth="1"/>
    <col min="11713" max="11713" width="8.75" customWidth="1"/>
    <col min="11714" max="11714" width="11" customWidth="1"/>
    <col min="11715" max="11715" width="2.875" customWidth="1"/>
    <col min="11716" max="11716" width="77.625" customWidth="1"/>
    <col min="11717" max="11717" width="20.875" customWidth="1"/>
    <col min="11967" max="11967" width="2.875" customWidth="1"/>
    <col min="11968" max="11968" width="8.125" customWidth="1"/>
    <col min="11969" max="11969" width="8.75" customWidth="1"/>
    <col min="11970" max="11970" width="11" customWidth="1"/>
    <col min="11971" max="11971" width="2.875" customWidth="1"/>
    <col min="11972" max="11972" width="77.625" customWidth="1"/>
    <col min="11973" max="11973" width="20.875" customWidth="1"/>
    <col min="12223" max="12223" width="2.875" customWidth="1"/>
    <col min="12224" max="12224" width="8.125" customWidth="1"/>
    <col min="12225" max="12225" width="8.75" customWidth="1"/>
    <col min="12226" max="12226" width="11" customWidth="1"/>
    <col min="12227" max="12227" width="2.875" customWidth="1"/>
    <col min="12228" max="12228" width="77.625" customWidth="1"/>
    <col min="12229" max="12229" width="20.875" customWidth="1"/>
    <col min="12479" max="12479" width="2.875" customWidth="1"/>
    <col min="12480" max="12480" width="8.125" customWidth="1"/>
    <col min="12481" max="12481" width="8.75" customWidth="1"/>
    <col min="12482" max="12482" width="11" customWidth="1"/>
    <col min="12483" max="12483" width="2.875" customWidth="1"/>
    <col min="12484" max="12484" width="77.625" customWidth="1"/>
    <col min="12485" max="12485" width="20.875" customWidth="1"/>
    <col min="12735" max="12735" width="2.875" customWidth="1"/>
    <col min="12736" max="12736" width="8.125" customWidth="1"/>
    <col min="12737" max="12737" width="8.75" customWidth="1"/>
    <col min="12738" max="12738" width="11" customWidth="1"/>
    <col min="12739" max="12739" width="2.875" customWidth="1"/>
    <col min="12740" max="12740" width="77.625" customWidth="1"/>
    <col min="12741" max="12741" width="20.875" customWidth="1"/>
    <col min="12991" max="12991" width="2.875" customWidth="1"/>
    <col min="12992" max="12992" width="8.125" customWidth="1"/>
    <col min="12993" max="12993" width="8.75" customWidth="1"/>
    <col min="12994" max="12994" width="11" customWidth="1"/>
    <col min="12995" max="12995" width="2.875" customWidth="1"/>
    <col min="12996" max="12996" width="77.625" customWidth="1"/>
    <col min="12997" max="12997" width="20.875" customWidth="1"/>
    <col min="13247" max="13247" width="2.875" customWidth="1"/>
    <col min="13248" max="13248" width="8.125" customWidth="1"/>
    <col min="13249" max="13249" width="8.75" customWidth="1"/>
    <col min="13250" max="13250" width="11" customWidth="1"/>
    <col min="13251" max="13251" width="2.875" customWidth="1"/>
    <col min="13252" max="13252" width="77.625" customWidth="1"/>
    <col min="13253" max="13253" width="20.875" customWidth="1"/>
    <col min="13503" max="13503" width="2.875" customWidth="1"/>
    <col min="13504" max="13504" width="8.125" customWidth="1"/>
    <col min="13505" max="13505" width="8.75" customWidth="1"/>
    <col min="13506" max="13506" width="11" customWidth="1"/>
    <col min="13507" max="13507" width="2.875" customWidth="1"/>
    <col min="13508" max="13508" width="77.625" customWidth="1"/>
    <col min="13509" max="13509" width="20.875" customWidth="1"/>
    <col min="13759" max="13759" width="2.875" customWidth="1"/>
    <col min="13760" max="13760" width="8.125" customWidth="1"/>
    <col min="13761" max="13761" width="8.75" customWidth="1"/>
    <col min="13762" max="13762" width="11" customWidth="1"/>
    <col min="13763" max="13763" width="2.875" customWidth="1"/>
    <col min="13764" max="13764" width="77.625" customWidth="1"/>
    <col min="13765" max="13765" width="20.875" customWidth="1"/>
    <col min="14015" max="14015" width="2.875" customWidth="1"/>
    <col min="14016" max="14016" width="8.125" customWidth="1"/>
    <col min="14017" max="14017" width="8.75" customWidth="1"/>
    <col min="14018" max="14018" width="11" customWidth="1"/>
    <col min="14019" max="14019" width="2.875" customWidth="1"/>
    <col min="14020" max="14020" width="77.625" customWidth="1"/>
    <col min="14021" max="14021" width="20.875" customWidth="1"/>
    <col min="14271" max="14271" width="2.875" customWidth="1"/>
    <col min="14272" max="14272" width="8.125" customWidth="1"/>
    <col min="14273" max="14273" width="8.75" customWidth="1"/>
    <col min="14274" max="14274" width="11" customWidth="1"/>
    <col min="14275" max="14275" width="2.875" customWidth="1"/>
    <col min="14276" max="14276" width="77.625" customWidth="1"/>
    <col min="14277" max="14277" width="20.875" customWidth="1"/>
    <col min="14527" max="14527" width="2.875" customWidth="1"/>
    <col min="14528" max="14528" width="8.125" customWidth="1"/>
    <col min="14529" max="14529" width="8.75" customWidth="1"/>
    <col min="14530" max="14530" width="11" customWidth="1"/>
    <col min="14531" max="14531" width="2.875" customWidth="1"/>
    <col min="14532" max="14532" width="77.625" customWidth="1"/>
    <col min="14533" max="14533" width="20.875" customWidth="1"/>
    <col min="14783" max="14783" width="2.875" customWidth="1"/>
    <col min="14784" max="14784" width="8.125" customWidth="1"/>
    <col min="14785" max="14785" width="8.75" customWidth="1"/>
    <col min="14786" max="14786" width="11" customWidth="1"/>
    <col min="14787" max="14787" width="2.875" customWidth="1"/>
    <col min="14788" max="14788" width="77.625" customWidth="1"/>
    <col min="14789" max="14789" width="20.875" customWidth="1"/>
    <col min="15039" max="15039" width="2.875" customWidth="1"/>
    <col min="15040" max="15040" width="8.125" customWidth="1"/>
    <col min="15041" max="15041" width="8.75" customWidth="1"/>
    <col min="15042" max="15042" width="11" customWidth="1"/>
    <col min="15043" max="15043" width="2.875" customWidth="1"/>
    <col min="15044" max="15044" width="77.625" customWidth="1"/>
    <col min="15045" max="15045" width="20.875" customWidth="1"/>
    <col min="15295" max="15295" width="2.875" customWidth="1"/>
    <col min="15296" max="15296" width="8.125" customWidth="1"/>
    <col min="15297" max="15297" width="8.75" customWidth="1"/>
    <col min="15298" max="15298" width="11" customWidth="1"/>
    <col min="15299" max="15299" width="2.875" customWidth="1"/>
    <col min="15300" max="15300" width="77.625" customWidth="1"/>
    <col min="15301" max="15301" width="20.875" customWidth="1"/>
    <col min="15551" max="15551" width="2.875" customWidth="1"/>
    <col min="15552" max="15552" width="8.125" customWidth="1"/>
    <col min="15553" max="15553" width="8.75" customWidth="1"/>
    <col min="15554" max="15554" width="11" customWidth="1"/>
    <col min="15555" max="15555" width="2.875" customWidth="1"/>
    <col min="15556" max="15556" width="77.625" customWidth="1"/>
    <col min="15557" max="15557" width="20.875" customWidth="1"/>
    <col min="15807" max="15807" width="2.875" customWidth="1"/>
    <col min="15808" max="15808" width="8.125" customWidth="1"/>
    <col min="15809" max="15809" width="8.75" customWidth="1"/>
    <col min="15810" max="15810" width="11" customWidth="1"/>
    <col min="15811" max="15811" width="2.875" customWidth="1"/>
    <col min="15812" max="15812" width="77.625" customWidth="1"/>
    <col min="15813" max="15813" width="20.875" customWidth="1"/>
    <col min="16063" max="16063" width="2.875" customWidth="1"/>
    <col min="16064" max="16064" width="8.125" customWidth="1"/>
    <col min="16065" max="16065" width="8.75" customWidth="1"/>
    <col min="16066" max="16066" width="11" customWidth="1"/>
    <col min="16067" max="16067" width="2.875" customWidth="1"/>
    <col min="16068" max="16068" width="77.625" customWidth="1"/>
    <col min="16069" max="16069" width="20.875" customWidth="1"/>
  </cols>
  <sheetData>
    <row r="1" spans="1:143" ht="22.5" customHeight="1" x14ac:dyDescent="0.4">
      <c r="A1" s="46" t="s">
        <v>93</v>
      </c>
      <c r="B1" s="47"/>
      <c r="C1" s="48"/>
      <c r="D1" s="48"/>
      <c r="E1" s="48"/>
      <c r="F1" s="47"/>
      <c r="G1" s="191"/>
      <c r="H1" s="47"/>
      <c r="I1" s="47"/>
    </row>
    <row r="2" spans="1:143" ht="22.5" customHeight="1" x14ac:dyDescent="0.4">
      <c r="A2" s="46" t="s">
        <v>262</v>
      </c>
      <c r="B2" s="47"/>
      <c r="C2" s="48"/>
      <c r="D2" s="48"/>
      <c r="E2" s="48"/>
      <c r="F2" s="47"/>
      <c r="G2" s="191"/>
      <c r="H2" s="47"/>
      <c r="I2" s="47"/>
    </row>
    <row r="3" spans="1:143" ht="22.5" hidden="1" customHeight="1" x14ac:dyDescent="0.4">
      <c r="A3" s="46" t="s">
        <v>257</v>
      </c>
      <c r="B3" s="47"/>
      <c r="C3" s="48"/>
      <c r="D3" s="48"/>
      <c r="E3" s="48"/>
      <c r="F3" s="47"/>
      <c r="G3" s="191"/>
      <c r="H3" s="47"/>
      <c r="I3" s="47"/>
    </row>
    <row r="4" spans="1:143" ht="22.5" customHeight="1" x14ac:dyDescent="0.4">
      <c r="A4" s="46" t="s">
        <v>263</v>
      </c>
      <c r="B4" s="47"/>
      <c r="C4" s="48"/>
      <c r="D4" s="48"/>
      <c r="E4" s="48"/>
      <c r="F4" s="47"/>
      <c r="G4" s="191"/>
      <c r="H4" s="47"/>
      <c r="I4" s="47"/>
    </row>
    <row r="5" spans="1:143" s="50" customFormat="1" ht="5.25" customHeight="1" thickBot="1" x14ac:dyDescent="0.25">
      <c r="A5" s="49"/>
      <c r="B5" s="49"/>
      <c r="C5" s="49"/>
      <c r="D5" s="49"/>
      <c r="E5" s="49"/>
      <c r="F5" s="49"/>
      <c r="G5" s="192"/>
    </row>
    <row r="6" spans="1:143" s="53" customFormat="1" ht="24.75" customHeight="1" thickTop="1" thickBot="1" x14ac:dyDescent="0.25">
      <c r="A6" s="51"/>
      <c r="B6" s="51"/>
      <c r="C6" s="51"/>
      <c r="D6" s="51"/>
      <c r="E6" s="51"/>
      <c r="F6" s="51"/>
      <c r="G6" s="327" t="s">
        <v>49</v>
      </c>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row>
    <row r="7" spans="1:143" s="55" customFormat="1" ht="8.25" customHeight="1" thickTop="1" x14ac:dyDescent="0.2">
      <c r="A7" s="54"/>
      <c r="B7" s="54"/>
      <c r="C7" s="54"/>
      <c r="D7" s="54"/>
      <c r="E7" s="54"/>
      <c r="F7" s="54"/>
      <c r="G7" s="193"/>
    </row>
    <row r="8" spans="1:143" ht="21" thickBot="1" x14ac:dyDescent="0.35">
      <c r="A8" s="56"/>
      <c r="B8" s="120" t="s">
        <v>99</v>
      </c>
      <c r="C8" s="120"/>
      <c r="D8" s="120"/>
      <c r="E8" s="120"/>
      <c r="F8" s="120"/>
      <c r="G8" s="231"/>
    </row>
    <row r="9" spans="1:143" s="55" customFormat="1" ht="20.25" x14ac:dyDescent="0.2">
      <c r="A9" s="54"/>
      <c r="B9" s="54"/>
      <c r="C9" s="58" t="s">
        <v>100</v>
      </c>
      <c r="D9" s="58"/>
      <c r="E9" s="58"/>
      <c r="F9" s="54"/>
      <c r="G9" s="202">
        <v>1015000</v>
      </c>
    </row>
    <row r="10" spans="1:143" s="55" customFormat="1" ht="20.25" x14ac:dyDescent="0.2">
      <c r="A10" s="54"/>
      <c r="B10" s="54"/>
      <c r="C10" s="58" t="s">
        <v>172</v>
      </c>
      <c r="D10" s="58"/>
      <c r="E10" s="58"/>
      <c r="F10" s="54"/>
      <c r="G10" s="193">
        <v>13000</v>
      </c>
    </row>
    <row r="11" spans="1:143" s="55" customFormat="1" ht="20.25" x14ac:dyDescent="0.2">
      <c r="A11" s="54"/>
      <c r="B11" s="54"/>
      <c r="C11" s="58" t="s">
        <v>149</v>
      </c>
      <c r="D11" s="58"/>
      <c r="E11" s="58"/>
      <c r="F11" s="54"/>
      <c r="G11" s="193">
        <v>195000</v>
      </c>
    </row>
    <row r="12" spans="1:143" s="55" customFormat="1" ht="20.25" x14ac:dyDescent="0.2">
      <c r="A12" s="54"/>
      <c r="B12" s="54"/>
      <c r="C12" s="58" t="s">
        <v>178</v>
      </c>
      <c r="D12" s="58"/>
      <c r="E12" s="58"/>
      <c r="F12" s="54"/>
      <c r="G12" s="193">
        <v>40000</v>
      </c>
    </row>
    <row r="13" spans="1:143" s="55" customFormat="1" ht="20.25" x14ac:dyDescent="0.2">
      <c r="A13" s="54"/>
      <c r="B13" s="54"/>
      <c r="C13" s="58" t="s">
        <v>101</v>
      </c>
      <c r="D13" s="58"/>
      <c r="E13" s="58"/>
      <c r="F13" s="54"/>
      <c r="G13" s="193"/>
    </row>
    <row r="14" spans="1:143" s="55" customFormat="1" ht="20.25" x14ac:dyDescent="0.2">
      <c r="A14" s="54"/>
      <c r="B14" s="54"/>
      <c r="D14" s="58" t="s">
        <v>138</v>
      </c>
      <c r="E14" s="58"/>
      <c r="F14" s="54"/>
      <c r="G14" s="193">
        <f>43900+41500+122000</f>
        <v>207400</v>
      </c>
    </row>
    <row r="15" spans="1:143" s="55" customFormat="1" ht="20.25" x14ac:dyDescent="0.2">
      <c r="A15" s="54"/>
      <c r="B15" s="54"/>
      <c r="D15" s="58" t="s">
        <v>158</v>
      </c>
      <c r="E15" s="58"/>
      <c r="F15" s="54"/>
      <c r="G15" s="193">
        <v>11000</v>
      </c>
    </row>
    <row r="16" spans="1:143" s="55" customFormat="1" ht="20.25" x14ac:dyDescent="0.2">
      <c r="A16" s="54"/>
      <c r="B16" s="54"/>
      <c r="C16" s="58" t="s">
        <v>102</v>
      </c>
      <c r="D16" s="58"/>
      <c r="E16" s="58"/>
      <c r="F16" s="54"/>
      <c r="G16" s="193">
        <v>9500</v>
      </c>
    </row>
    <row r="17" spans="1:7" s="55" customFormat="1" ht="20.25" x14ac:dyDescent="0.2">
      <c r="A17" s="54"/>
      <c r="B17" s="54"/>
      <c r="C17" s="58" t="s">
        <v>109</v>
      </c>
      <c r="D17" s="58"/>
      <c r="E17" s="58"/>
      <c r="F17" s="54"/>
      <c r="G17" s="193">
        <v>1000</v>
      </c>
    </row>
    <row r="18" spans="1:7" s="55" customFormat="1" ht="20.25" x14ac:dyDescent="0.2">
      <c r="A18" s="54"/>
      <c r="B18" s="54"/>
      <c r="C18" s="58" t="s">
        <v>236</v>
      </c>
      <c r="D18" s="58"/>
      <c r="E18" s="58"/>
      <c r="F18" s="54"/>
      <c r="G18" s="193">
        <v>3000</v>
      </c>
    </row>
    <row r="19" spans="1:7" s="55" customFormat="1" ht="20.25" x14ac:dyDescent="0.2">
      <c r="A19" s="54"/>
      <c r="B19" s="54"/>
      <c r="C19" s="58" t="s">
        <v>237</v>
      </c>
      <c r="D19" s="58"/>
      <c r="E19" s="58"/>
      <c r="F19" s="54"/>
      <c r="G19" s="193">
        <f>25000+8000+20000</f>
        <v>53000</v>
      </c>
    </row>
    <row r="20" spans="1:7" s="55" customFormat="1" ht="20.25" x14ac:dyDescent="0.2">
      <c r="A20" s="54"/>
      <c r="B20" s="54"/>
      <c r="C20" s="58" t="s">
        <v>144</v>
      </c>
      <c r="D20" s="58"/>
      <c r="E20" s="58"/>
      <c r="F20" s="54"/>
      <c r="G20" s="193">
        <v>500</v>
      </c>
    </row>
    <row r="21" spans="1:7" s="55" customFormat="1" ht="20.25" hidden="1" x14ac:dyDescent="0.2">
      <c r="A21" s="54"/>
      <c r="B21" s="54"/>
      <c r="C21" s="58" t="s">
        <v>163</v>
      </c>
      <c r="D21" s="58"/>
      <c r="E21" s="58"/>
      <c r="F21" s="54"/>
      <c r="G21" s="193"/>
    </row>
    <row r="22" spans="1:7" s="55" customFormat="1" ht="21" thickBot="1" x14ac:dyDescent="0.25">
      <c r="A22" s="54"/>
      <c r="B22" s="54"/>
      <c r="C22" s="58" t="s">
        <v>108</v>
      </c>
      <c r="D22" s="58"/>
      <c r="E22" s="58"/>
      <c r="F22" s="54"/>
      <c r="G22" s="200">
        <v>46575</v>
      </c>
    </row>
    <row r="23" spans="1:7" s="55" customFormat="1" ht="20.25" x14ac:dyDescent="0.2">
      <c r="A23" s="54"/>
      <c r="B23" s="54"/>
      <c r="C23" s="58"/>
      <c r="D23" s="54" t="s">
        <v>104</v>
      </c>
      <c r="E23" s="58"/>
      <c r="F23" s="54"/>
      <c r="G23" s="193">
        <f>SUM(G9:G22)</f>
        <v>1594975</v>
      </c>
    </row>
    <row r="24" spans="1:7" s="55" customFormat="1" ht="21" thickBot="1" x14ac:dyDescent="0.25">
      <c r="A24" s="54"/>
      <c r="B24" s="54"/>
      <c r="C24" s="54" t="s">
        <v>105</v>
      </c>
      <c r="D24" s="58"/>
      <c r="E24" s="58"/>
      <c r="F24" s="54"/>
      <c r="G24" s="200">
        <f>68000+18000</f>
        <v>86000</v>
      </c>
    </row>
    <row r="25" spans="1:7" s="55" customFormat="1" ht="20.25" x14ac:dyDescent="0.2">
      <c r="A25" s="54"/>
      <c r="B25" s="54"/>
      <c r="C25" s="58"/>
      <c r="D25" s="54" t="s">
        <v>106</v>
      </c>
      <c r="E25" s="58"/>
      <c r="F25" s="54"/>
      <c r="G25" s="193">
        <f>SUM(G23:G24)</f>
        <v>1680975</v>
      </c>
    </row>
    <row r="26" spans="1:7" s="55" customFormat="1" ht="6" customHeight="1" x14ac:dyDescent="0.2">
      <c r="A26" s="54"/>
      <c r="B26" s="54"/>
      <c r="C26" s="58"/>
      <c r="D26" s="54"/>
      <c r="E26" s="58"/>
      <c r="F26" s="54"/>
      <c r="G26" s="193"/>
    </row>
    <row r="27" spans="1:7" s="55" customFormat="1" ht="21" thickBot="1" x14ac:dyDescent="0.25">
      <c r="A27" s="54"/>
      <c r="B27" s="66" t="s">
        <v>110</v>
      </c>
      <c r="C27" s="66"/>
      <c r="D27" s="66"/>
      <c r="E27" s="66"/>
      <c r="F27" s="66"/>
      <c r="G27" s="200"/>
    </row>
    <row r="28" spans="1:7" s="55" customFormat="1" ht="20.25" x14ac:dyDescent="0.2">
      <c r="A28" s="54"/>
      <c r="B28" s="54"/>
      <c r="C28" s="58" t="s">
        <v>111</v>
      </c>
      <c r="D28" s="58"/>
      <c r="E28" s="58"/>
      <c r="F28" s="58"/>
      <c r="G28" s="193">
        <f>ROUND((898643.55+40000)*1.02,-2)</f>
        <v>957400</v>
      </c>
    </row>
    <row r="29" spans="1:7" s="55" customFormat="1" ht="20.25" x14ac:dyDescent="0.2">
      <c r="A29" s="54"/>
      <c r="B29" s="54"/>
      <c r="C29" s="58" t="s">
        <v>112</v>
      </c>
      <c r="D29" s="58"/>
      <c r="E29" s="58"/>
      <c r="F29" s="58"/>
      <c r="G29" s="193">
        <f>ROUNDUP(G28*0.195,-2)</f>
        <v>186700</v>
      </c>
    </row>
    <row r="30" spans="1:7" s="55" customFormat="1" ht="20.25" x14ac:dyDescent="0.2">
      <c r="A30" s="54"/>
      <c r="B30" s="54"/>
      <c r="C30" s="58" t="s">
        <v>113</v>
      </c>
      <c r="D30" s="58"/>
      <c r="E30" s="58"/>
      <c r="F30" s="58"/>
      <c r="G30" s="193">
        <f>48831-G22</f>
        <v>2256</v>
      </c>
    </row>
    <row r="31" spans="1:7" s="55" customFormat="1" ht="20.25" x14ac:dyDescent="0.2">
      <c r="A31" s="54"/>
      <c r="B31" s="54"/>
      <c r="C31" s="58" t="s">
        <v>103</v>
      </c>
      <c r="D31" s="58"/>
      <c r="E31" s="58"/>
      <c r="F31" s="58"/>
      <c r="G31" s="193">
        <f>G22</f>
        <v>46575</v>
      </c>
    </row>
    <row r="32" spans="1:7" s="55" customFormat="1" ht="20.25" x14ac:dyDescent="0.2">
      <c r="A32" s="54"/>
      <c r="B32" s="54"/>
      <c r="C32" s="58" t="s">
        <v>114</v>
      </c>
      <c r="D32" s="58"/>
      <c r="E32" s="58"/>
      <c r="F32" s="58"/>
      <c r="G32" s="193">
        <v>14000</v>
      </c>
    </row>
    <row r="33" spans="1:7" s="55" customFormat="1" ht="20.25" x14ac:dyDescent="0.2">
      <c r="A33" s="54"/>
      <c r="B33" s="54"/>
      <c r="C33" s="58" t="s">
        <v>115</v>
      </c>
      <c r="D33" s="58"/>
      <c r="E33" s="58"/>
      <c r="F33" s="58"/>
      <c r="G33" s="193">
        <v>3500</v>
      </c>
    </row>
    <row r="34" spans="1:7" s="55" customFormat="1" ht="20.25" x14ac:dyDescent="0.2">
      <c r="A34" s="54"/>
      <c r="B34" s="54"/>
      <c r="C34" s="58" t="s">
        <v>116</v>
      </c>
      <c r="D34" s="58"/>
      <c r="E34" s="58"/>
      <c r="F34" s="58"/>
      <c r="G34" s="193">
        <v>7000</v>
      </c>
    </row>
    <row r="35" spans="1:7" s="55" customFormat="1" ht="20.25" x14ac:dyDescent="0.2">
      <c r="A35" s="54"/>
      <c r="B35" s="54"/>
      <c r="C35" s="58" t="s">
        <v>117</v>
      </c>
      <c r="D35" s="58"/>
      <c r="E35" s="58"/>
      <c r="F35" s="58"/>
      <c r="G35" s="193">
        <v>13500</v>
      </c>
    </row>
    <row r="36" spans="1:7" s="55" customFormat="1" ht="20.25" x14ac:dyDescent="0.2">
      <c r="A36" s="54"/>
      <c r="B36" s="54"/>
      <c r="C36" s="58" t="s">
        <v>118</v>
      </c>
      <c r="D36" s="58"/>
      <c r="E36" s="58"/>
      <c r="F36" s="58"/>
      <c r="G36" s="193">
        <v>40000</v>
      </c>
    </row>
    <row r="37" spans="1:7" s="55" customFormat="1" ht="20.25" x14ac:dyDescent="0.2">
      <c r="A37" s="54"/>
      <c r="B37" s="54"/>
      <c r="C37" s="58" t="s">
        <v>119</v>
      </c>
      <c r="D37" s="58"/>
      <c r="E37" s="58"/>
      <c r="F37" s="58"/>
      <c r="G37" s="193">
        <v>6600</v>
      </c>
    </row>
    <row r="38" spans="1:7" s="55" customFormat="1" ht="20.25" x14ac:dyDescent="0.2">
      <c r="A38" s="54"/>
      <c r="B38" s="54"/>
      <c r="C38" s="58" t="s">
        <v>120</v>
      </c>
      <c r="D38" s="58"/>
      <c r="E38" s="58"/>
      <c r="F38" s="58"/>
      <c r="G38" s="193">
        <v>1500</v>
      </c>
    </row>
    <row r="39" spans="1:7" s="55" customFormat="1" ht="20.25" x14ac:dyDescent="0.2">
      <c r="A39" s="54"/>
      <c r="B39" s="54"/>
      <c r="C39" s="58" t="s">
        <v>165</v>
      </c>
      <c r="D39" s="58"/>
      <c r="E39" s="58"/>
      <c r="F39" s="58"/>
      <c r="G39" s="193">
        <v>13700</v>
      </c>
    </row>
    <row r="40" spans="1:7" s="55" customFormat="1" ht="20.25" x14ac:dyDescent="0.2">
      <c r="A40" s="58"/>
      <c r="B40" s="58"/>
      <c r="C40" s="58" t="s">
        <v>121</v>
      </c>
      <c r="D40" s="58"/>
      <c r="E40" s="58"/>
      <c r="F40" s="58"/>
      <c r="G40" s="193">
        <f>ROUNDUP(13248.87*1.05,-2)</f>
        <v>14000</v>
      </c>
    </row>
    <row r="41" spans="1:7" s="55" customFormat="1" ht="20.25" x14ac:dyDescent="0.2">
      <c r="A41" s="58"/>
      <c r="B41" s="58"/>
      <c r="C41" s="58" t="s">
        <v>122</v>
      </c>
      <c r="D41" s="58"/>
      <c r="E41" s="58"/>
      <c r="F41" s="58"/>
      <c r="G41" s="193">
        <f>ROUNDUP(12343.85*1.03,-2)</f>
        <v>12800</v>
      </c>
    </row>
    <row r="42" spans="1:7" s="55" customFormat="1" ht="20.25" x14ac:dyDescent="0.2">
      <c r="A42" s="58"/>
      <c r="B42" s="58"/>
      <c r="C42" s="58" t="s">
        <v>129</v>
      </c>
      <c r="D42" s="58"/>
      <c r="E42" s="58"/>
      <c r="F42" s="58"/>
      <c r="G42" s="193">
        <v>3000</v>
      </c>
    </row>
    <row r="43" spans="1:7" s="55" customFormat="1" ht="20.25" x14ac:dyDescent="0.2">
      <c r="A43" s="58"/>
      <c r="B43" s="58"/>
      <c r="C43" s="58" t="s">
        <v>123</v>
      </c>
      <c r="D43" s="58"/>
      <c r="E43" s="58"/>
      <c r="F43" s="58"/>
      <c r="G43" s="193">
        <f>ROUNDUP((3067.88+8008.83)*1.05,-2)</f>
        <v>11700</v>
      </c>
    </row>
    <row r="44" spans="1:7" s="55" customFormat="1" ht="20.25" x14ac:dyDescent="0.2">
      <c r="A44" s="54"/>
      <c r="B44" s="54"/>
      <c r="C44" s="58" t="s">
        <v>198</v>
      </c>
      <c r="D44" s="58"/>
      <c r="E44" s="58"/>
      <c r="F44" s="58"/>
      <c r="G44" s="193">
        <v>17000</v>
      </c>
    </row>
    <row r="45" spans="1:7" s="55" customFormat="1" ht="20.25" x14ac:dyDescent="0.2">
      <c r="A45" s="58"/>
      <c r="B45" s="58"/>
      <c r="C45" s="58" t="s">
        <v>124</v>
      </c>
      <c r="D45" s="58"/>
      <c r="E45" s="58"/>
      <c r="F45" s="58"/>
      <c r="G45" s="193">
        <v>41000</v>
      </c>
    </row>
    <row r="46" spans="1:7" s="55" customFormat="1" ht="20.25" x14ac:dyDescent="0.2">
      <c r="A46" s="58"/>
      <c r="B46" s="58"/>
      <c r="C46" s="58" t="s">
        <v>125</v>
      </c>
      <c r="D46" s="58"/>
      <c r="E46" s="58"/>
      <c r="F46" s="58"/>
      <c r="G46" s="193">
        <f>ROUNDUP((1800+4675.64+34905.29+1033.01-10000-2673-17150-1033+14000)*1.01,-2)</f>
        <v>25900</v>
      </c>
    </row>
    <row r="47" spans="1:7" s="55" customFormat="1" ht="20.25" x14ac:dyDescent="0.2">
      <c r="A47" s="58"/>
      <c r="B47" s="58"/>
      <c r="C47" s="58" t="s">
        <v>166</v>
      </c>
      <c r="D47" s="58"/>
      <c r="E47" s="58"/>
      <c r="F47" s="58"/>
      <c r="G47" s="193">
        <v>36000</v>
      </c>
    </row>
    <row r="48" spans="1:7" s="55" customFormat="1" ht="20.25" x14ac:dyDescent="0.2">
      <c r="A48" s="58"/>
      <c r="B48" s="58"/>
      <c r="C48" s="58" t="s">
        <v>164</v>
      </c>
      <c r="D48" s="58"/>
      <c r="E48" s="58"/>
      <c r="F48" s="58"/>
      <c r="G48" s="193">
        <f>ROUNDUP(46266.27*1.02,-2)</f>
        <v>47200</v>
      </c>
    </row>
    <row r="49" spans="1:7" s="55" customFormat="1" ht="20.25" x14ac:dyDescent="0.2">
      <c r="A49" s="58"/>
      <c r="B49" s="58"/>
      <c r="C49" s="58" t="s">
        <v>126</v>
      </c>
      <c r="D49" s="58"/>
      <c r="E49" s="58"/>
      <c r="F49" s="58"/>
      <c r="G49" s="193">
        <f>ROUND((2604.31+166143.24-12000)*1.01,-2)</f>
        <v>158300</v>
      </c>
    </row>
    <row r="50" spans="1:7" s="55" customFormat="1" ht="20.25" hidden="1" x14ac:dyDescent="0.2">
      <c r="A50" s="58"/>
      <c r="B50" s="58"/>
      <c r="C50" s="58" t="s">
        <v>258</v>
      </c>
      <c r="D50" s="58"/>
      <c r="E50" s="58"/>
      <c r="F50" s="58"/>
      <c r="G50" s="193"/>
    </row>
    <row r="51" spans="1:7" s="55" customFormat="1" ht="20.25" x14ac:dyDescent="0.2">
      <c r="A51" s="54"/>
      <c r="B51" s="54"/>
      <c r="C51" s="54"/>
      <c r="D51" s="54" t="s">
        <v>127</v>
      </c>
      <c r="E51" s="54"/>
      <c r="F51" s="54"/>
      <c r="G51" s="196">
        <f>SUM(G28:G50)</f>
        <v>1659631</v>
      </c>
    </row>
    <row r="52" spans="1:7" s="55" customFormat="1" ht="10.5" customHeight="1" thickBot="1" x14ac:dyDescent="0.25">
      <c r="A52" s="54"/>
      <c r="B52" s="54"/>
      <c r="C52" s="54"/>
      <c r="D52" s="54"/>
      <c r="E52" s="54"/>
      <c r="F52" s="54"/>
      <c r="G52" s="200"/>
    </row>
    <row r="53" spans="1:7" s="55" customFormat="1" ht="21" thickBot="1" x14ac:dyDescent="0.25">
      <c r="A53" s="54"/>
      <c r="B53" s="54"/>
      <c r="C53" s="54"/>
      <c r="D53" s="54" t="s">
        <v>128</v>
      </c>
      <c r="E53" s="54"/>
      <c r="F53" s="54"/>
      <c r="G53" s="200">
        <f>G25-G51</f>
        <v>21344</v>
      </c>
    </row>
    <row r="54" spans="1:7" s="55" customFormat="1" ht="11.25" customHeight="1" x14ac:dyDescent="0.2">
      <c r="A54" s="54"/>
      <c r="B54" s="54"/>
      <c r="C54" s="54"/>
      <c r="D54" s="54"/>
      <c r="E54" s="54"/>
      <c r="F54" s="54"/>
      <c r="G54" s="193"/>
    </row>
    <row r="55" spans="1:7" s="55" customFormat="1" ht="20.25" x14ac:dyDescent="0.2">
      <c r="A55" s="58"/>
      <c r="B55" s="58"/>
      <c r="C55" s="58"/>
      <c r="D55" s="58"/>
      <c r="F55" s="58"/>
      <c r="G55" s="202"/>
    </row>
    <row r="56" spans="1:7" s="55" customFormat="1" ht="20.25" x14ac:dyDescent="0.2">
      <c r="A56" s="58"/>
      <c r="B56" s="58"/>
      <c r="C56" s="58"/>
      <c r="D56" s="58"/>
      <c r="F56" s="58"/>
      <c r="G56" s="193"/>
    </row>
    <row r="57" spans="1:7" s="55" customFormat="1" ht="20.25" x14ac:dyDescent="0.2">
      <c r="A57" s="58"/>
      <c r="B57" s="58"/>
      <c r="C57" s="58"/>
      <c r="D57" s="58"/>
      <c r="F57" s="58"/>
      <c r="G57" s="193"/>
    </row>
    <row r="58" spans="1:7" s="55" customFormat="1" ht="20.25" x14ac:dyDescent="0.2">
      <c r="A58" s="58"/>
      <c r="B58" s="58"/>
      <c r="C58" s="58"/>
      <c r="D58" s="58"/>
      <c r="F58" s="58"/>
      <c r="G58" s="193"/>
    </row>
    <row r="59" spans="1:7" s="55" customFormat="1" ht="20.25" x14ac:dyDescent="0.2">
      <c r="A59" s="58"/>
      <c r="B59" s="58"/>
      <c r="C59" s="58"/>
      <c r="D59" s="58"/>
      <c r="F59" s="58"/>
      <c r="G59" s="193"/>
    </row>
    <row r="60" spans="1:7" s="55" customFormat="1" ht="20.25" x14ac:dyDescent="0.2">
      <c r="A60" s="58"/>
      <c r="B60" s="58"/>
      <c r="C60" s="58"/>
      <c r="D60" s="58"/>
      <c r="F60" s="58"/>
      <c r="G60" s="193"/>
    </row>
    <row r="61" spans="1:7" s="55" customFormat="1" ht="20.25" x14ac:dyDescent="0.2">
      <c r="A61" s="58"/>
      <c r="B61" s="58"/>
      <c r="C61" s="54"/>
      <c r="D61" s="58"/>
      <c r="F61" s="58"/>
      <c r="G61" s="193"/>
    </row>
    <row r="62" spans="1:7" s="55" customFormat="1" ht="20.25" x14ac:dyDescent="0.2">
      <c r="A62" s="58"/>
      <c r="B62" s="58"/>
      <c r="C62" s="58"/>
      <c r="D62" s="58"/>
      <c r="E62" s="58"/>
      <c r="F62" s="58"/>
      <c r="G62" s="193"/>
    </row>
    <row r="63" spans="1:7" s="55" customFormat="1" ht="20.25" x14ac:dyDescent="0.2">
      <c r="A63" s="58"/>
      <c r="B63" s="58"/>
      <c r="C63" s="54"/>
      <c r="D63" s="54"/>
      <c r="G63" s="193"/>
    </row>
    <row r="64" spans="1:7" s="55" customFormat="1" ht="20.25" x14ac:dyDescent="0.2">
      <c r="A64" s="58"/>
      <c r="B64" s="58"/>
      <c r="C64" s="58"/>
      <c r="D64" s="58"/>
      <c r="E64" s="58"/>
      <c r="F64" s="58"/>
      <c r="G64" s="193"/>
    </row>
    <row r="65" spans="1:7" s="55" customFormat="1" ht="20.25" x14ac:dyDescent="0.2">
      <c r="A65" s="58"/>
      <c r="B65" s="58"/>
      <c r="C65" s="58"/>
      <c r="D65" s="58"/>
      <c r="E65" s="58"/>
      <c r="F65" s="58"/>
      <c r="G65" s="193"/>
    </row>
    <row r="66" spans="1:7" s="55" customFormat="1" ht="20.25" x14ac:dyDescent="0.2">
      <c r="A66" s="58"/>
      <c r="B66" s="58"/>
      <c r="C66" s="58"/>
      <c r="D66" s="58"/>
      <c r="E66" s="58"/>
      <c r="F66" s="58"/>
      <c r="G66" s="193"/>
    </row>
    <row r="67" spans="1:7" s="55" customFormat="1" ht="20.25" x14ac:dyDescent="0.2">
      <c r="A67" s="58"/>
      <c r="B67" s="58"/>
      <c r="C67" s="58"/>
      <c r="D67" s="58"/>
      <c r="E67" s="58"/>
      <c r="F67" s="58"/>
      <c r="G67" s="193"/>
    </row>
    <row r="68" spans="1:7" s="55" customFormat="1" ht="20.25" x14ac:dyDescent="0.2">
      <c r="A68" s="58"/>
      <c r="B68" s="58"/>
      <c r="C68" s="54"/>
      <c r="D68" s="58"/>
      <c r="F68" s="58"/>
      <c r="G68" s="193"/>
    </row>
    <row r="69" spans="1:7" s="55" customFormat="1" ht="20.25" x14ac:dyDescent="0.2">
      <c r="A69" s="58"/>
      <c r="B69" s="58"/>
      <c r="C69" s="58"/>
      <c r="D69" s="58"/>
      <c r="E69" s="58"/>
      <c r="F69" s="58"/>
      <c r="G69" s="193"/>
    </row>
    <row r="70" spans="1:7" s="55" customFormat="1" ht="20.25" x14ac:dyDescent="0.2">
      <c r="A70" s="54"/>
      <c r="B70" s="54"/>
      <c r="C70" s="54"/>
      <c r="D70" s="54"/>
      <c r="E70" s="54"/>
      <c r="F70" s="54"/>
      <c r="G70" s="196"/>
    </row>
    <row r="71" spans="1:7" s="55" customFormat="1" ht="20.25" x14ac:dyDescent="0.2">
      <c r="A71" s="54"/>
      <c r="B71" s="54"/>
      <c r="C71" s="54"/>
      <c r="D71" s="54"/>
      <c r="E71" s="54"/>
      <c r="F71" s="54"/>
      <c r="G71" s="196"/>
    </row>
    <row r="72" spans="1:7" s="55" customFormat="1" ht="23.25" x14ac:dyDescent="0.2">
      <c r="A72" s="54"/>
      <c r="B72" s="222"/>
      <c r="C72" s="54"/>
      <c r="D72" s="54"/>
      <c r="E72" s="54"/>
      <c r="F72" s="54"/>
      <c r="G72" s="193"/>
    </row>
    <row r="73" spans="1:7" s="55" customFormat="1" ht="20.25" x14ac:dyDescent="0.2">
      <c r="A73" s="58"/>
      <c r="B73" s="58"/>
      <c r="D73" s="58"/>
      <c r="E73" s="58"/>
      <c r="F73" s="58"/>
      <c r="G73" s="193"/>
    </row>
    <row r="74" spans="1:7" s="55" customFormat="1" ht="20.25" x14ac:dyDescent="0.2">
      <c r="A74" s="58"/>
      <c r="B74" s="58"/>
      <c r="D74" s="58"/>
      <c r="E74" s="58"/>
      <c r="F74" s="58"/>
      <c r="G74" s="193"/>
    </row>
    <row r="75" spans="1:7" s="55" customFormat="1" ht="20.25" x14ac:dyDescent="0.2">
      <c r="A75" s="54"/>
      <c r="B75" s="54"/>
      <c r="D75" s="58"/>
      <c r="E75" s="54"/>
      <c r="F75" s="54"/>
      <c r="G75" s="193"/>
    </row>
    <row r="76" spans="1:7" s="55" customFormat="1" ht="23.25" x14ac:dyDescent="0.2">
      <c r="A76" s="54"/>
      <c r="B76" s="222"/>
      <c r="C76" s="54"/>
      <c r="D76" s="54"/>
      <c r="E76" s="54"/>
      <c r="F76" s="54"/>
      <c r="G76" s="196"/>
    </row>
    <row r="77" spans="1:7" s="55" customFormat="1" ht="20.25" x14ac:dyDescent="0.2">
      <c r="A77" s="54"/>
      <c r="B77" s="54"/>
      <c r="C77" s="54"/>
      <c r="D77" s="54"/>
      <c r="E77" s="54"/>
      <c r="F77" s="54"/>
      <c r="G77" s="193"/>
    </row>
    <row r="78" spans="1:7" s="62" customFormat="1" ht="26.25" x14ac:dyDescent="0.2">
      <c r="A78" s="219"/>
      <c r="B78" s="219"/>
      <c r="C78" s="219"/>
      <c r="D78" s="219"/>
      <c r="E78" s="219"/>
      <c r="F78" s="219"/>
      <c r="G78" s="220"/>
    </row>
  </sheetData>
  <pageMargins left="0.45" right="0.45" top="0.5" bottom="0.5" header="0.3" footer="0.3"/>
  <pageSetup scale="75"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W45"/>
  <sheetViews>
    <sheetView zoomScale="75" zoomScaleNormal="75" workbookViewId="0">
      <selection activeCell="M38" sqref="M38"/>
    </sheetView>
  </sheetViews>
  <sheetFormatPr defaultRowHeight="14.25" x14ac:dyDescent="0.2"/>
  <cols>
    <col min="1" max="1" width="2.875" style="45" customWidth="1"/>
    <col min="2" max="3" width="4.375" style="45" customWidth="1"/>
    <col min="4" max="4" width="11" style="45" customWidth="1"/>
    <col min="5" max="5" width="2.875" style="45" customWidth="1"/>
    <col min="6" max="6" width="34.625" style="45" customWidth="1"/>
    <col min="7" max="9" width="23.375" bestFit="1" customWidth="1"/>
    <col min="10" max="22" width="18" bestFit="1" customWidth="1"/>
    <col min="23" max="23" width="16.875" bestFit="1" customWidth="1"/>
  </cols>
  <sheetData>
    <row r="1" spans="1:23" ht="26.25" x14ac:dyDescent="0.4">
      <c r="A1" s="46" t="s">
        <v>93</v>
      </c>
      <c r="B1" s="47"/>
      <c r="C1" s="48"/>
      <c r="D1" s="48"/>
      <c r="E1" s="48"/>
      <c r="F1" s="47"/>
      <c r="G1" s="47"/>
    </row>
    <row r="2" spans="1:23" ht="26.25" x14ac:dyDescent="0.4">
      <c r="A2" s="46" t="s">
        <v>181</v>
      </c>
      <c r="B2" s="47"/>
      <c r="C2" s="48"/>
      <c r="D2" s="48"/>
      <c r="E2" s="48"/>
      <c r="F2" s="47"/>
      <c r="G2" s="47"/>
    </row>
    <row r="3" spans="1:23" ht="11.25" customHeight="1" thickBot="1" x14ac:dyDescent="0.25">
      <c r="A3" s="49"/>
      <c r="B3" s="49"/>
      <c r="C3" s="49"/>
      <c r="D3" s="49"/>
      <c r="E3" s="49"/>
      <c r="F3" s="49"/>
      <c r="G3" s="269"/>
    </row>
    <row r="4" spans="1:23" ht="27.75" thickTop="1" thickBot="1" x14ac:dyDescent="0.25">
      <c r="A4" s="51"/>
      <c r="B4" s="51"/>
      <c r="C4" s="51"/>
      <c r="D4" s="51" t="s">
        <v>48</v>
      </c>
      <c r="E4" s="51"/>
      <c r="F4" s="51"/>
      <c r="G4" s="327" t="s">
        <v>49</v>
      </c>
      <c r="H4" s="327"/>
      <c r="I4" s="327"/>
      <c r="J4" s="327"/>
      <c r="K4" s="327"/>
      <c r="L4" s="327"/>
      <c r="M4" s="327"/>
      <c r="N4" s="327"/>
      <c r="O4" s="327"/>
      <c r="P4" s="327"/>
      <c r="Q4" s="327"/>
      <c r="R4" s="327"/>
      <c r="S4" s="327"/>
      <c r="T4" s="327"/>
      <c r="U4" s="327"/>
      <c r="V4" s="327"/>
      <c r="W4" s="327"/>
    </row>
    <row r="5" spans="1:23" ht="21" thickTop="1" x14ac:dyDescent="0.2">
      <c r="A5" s="54"/>
      <c r="B5" s="54"/>
      <c r="C5" s="54"/>
      <c r="D5" s="54"/>
      <c r="E5" s="54"/>
      <c r="F5" s="54"/>
      <c r="G5" s="55"/>
      <c r="H5" s="55"/>
      <c r="I5" s="55"/>
      <c r="J5" s="55"/>
      <c r="K5" s="55"/>
      <c r="L5" s="55"/>
      <c r="M5" s="55"/>
      <c r="N5" s="55"/>
      <c r="O5" s="55"/>
      <c r="P5" s="55"/>
      <c r="Q5" s="55"/>
      <c r="R5" s="55"/>
      <c r="S5" s="55"/>
      <c r="T5" s="55"/>
      <c r="U5" s="55"/>
      <c r="V5" s="55"/>
      <c r="W5" s="55"/>
    </row>
    <row r="6" spans="1:23" ht="21" customHeight="1" thickBot="1" x14ac:dyDescent="0.35">
      <c r="A6" s="329"/>
      <c r="B6" s="856" t="s">
        <v>182</v>
      </c>
      <c r="C6" s="856"/>
      <c r="D6" s="856"/>
      <c r="E6" s="856"/>
      <c r="F6" s="856"/>
      <c r="G6" s="330">
        <v>42004</v>
      </c>
      <c r="H6" s="330">
        <v>41639</v>
      </c>
      <c r="I6" s="330">
        <v>41274</v>
      </c>
      <c r="J6" s="330">
        <v>41090</v>
      </c>
      <c r="K6" s="330">
        <v>40724</v>
      </c>
      <c r="L6" s="330">
        <v>40359</v>
      </c>
      <c r="M6" s="330">
        <v>39994</v>
      </c>
      <c r="N6" s="330">
        <v>39629</v>
      </c>
      <c r="O6" s="330">
        <v>39263</v>
      </c>
      <c r="P6" s="330">
        <v>38898</v>
      </c>
      <c r="Q6" s="330">
        <v>38533</v>
      </c>
      <c r="R6" s="330">
        <v>38168</v>
      </c>
      <c r="S6" s="330">
        <v>37802</v>
      </c>
      <c r="T6" s="330">
        <v>37437</v>
      </c>
      <c r="U6" s="330">
        <v>37072</v>
      </c>
      <c r="V6" s="330">
        <v>36707</v>
      </c>
      <c r="W6" s="330">
        <v>36341</v>
      </c>
    </row>
    <row r="7" spans="1:23" ht="20.25" x14ac:dyDescent="0.2">
      <c r="A7" s="54"/>
      <c r="B7" s="54"/>
      <c r="C7" s="54"/>
      <c r="D7" s="54"/>
      <c r="E7" s="54"/>
      <c r="F7" s="54"/>
      <c r="G7" s="55"/>
      <c r="H7" s="55"/>
      <c r="I7" s="55"/>
      <c r="J7" s="55"/>
      <c r="K7" s="55"/>
      <c r="L7" s="55"/>
      <c r="M7" s="55"/>
      <c r="N7" s="55"/>
      <c r="O7" s="55"/>
      <c r="P7" s="55"/>
      <c r="Q7" s="55"/>
      <c r="R7" s="55"/>
      <c r="S7" s="55"/>
      <c r="T7" s="55"/>
      <c r="U7" s="55"/>
      <c r="V7" s="55"/>
      <c r="W7" s="55"/>
    </row>
    <row r="8" spans="1:23" ht="20.25" x14ac:dyDescent="0.2">
      <c r="A8" s="54"/>
      <c r="B8" s="54"/>
      <c r="C8" s="54" t="s">
        <v>183</v>
      </c>
      <c r="D8" s="54"/>
      <c r="E8" s="54"/>
      <c r="F8" s="54"/>
      <c r="G8" s="202">
        <v>333525.67</v>
      </c>
      <c r="H8" s="202">
        <v>210919</v>
      </c>
      <c r="I8" s="202">
        <v>214148</v>
      </c>
      <c r="J8" s="202">
        <v>156809</v>
      </c>
      <c r="K8" s="202">
        <v>240314</v>
      </c>
      <c r="L8" s="202">
        <v>142815</v>
      </c>
      <c r="M8" s="202">
        <v>82502</v>
      </c>
      <c r="N8" s="202">
        <v>45758</v>
      </c>
      <c r="O8" s="202">
        <v>105458</v>
      </c>
      <c r="P8" s="202">
        <v>29475</v>
      </c>
      <c r="Q8" s="202">
        <v>22537</v>
      </c>
      <c r="R8" s="202">
        <v>42935</v>
      </c>
      <c r="S8" s="202">
        <v>144393</v>
      </c>
      <c r="T8" s="202">
        <v>42414</v>
      </c>
      <c r="U8" s="202">
        <f>69880+9123</f>
        <v>79003</v>
      </c>
      <c r="V8" s="202">
        <v>92767</v>
      </c>
      <c r="W8" s="202">
        <v>13150</v>
      </c>
    </row>
    <row r="9" spans="1:23" ht="20.25" x14ac:dyDescent="0.2">
      <c r="A9" s="58"/>
      <c r="B9" s="58"/>
      <c r="C9" s="54" t="s">
        <v>184</v>
      </c>
      <c r="D9" s="58"/>
      <c r="E9" s="58"/>
      <c r="F9" s="58"/>
      <c r="G9" s="230">
        <v>247907.12</v>
      </c>
      <c r="H9" s="230">
        <v>311775</v>
      </c>
      <c r="I9" s="230">
        <v>243797</v>
      </c>
      <c r="J9" s="230">
        <v>347870</v>
      </c>
      <c r="K9" s="230">
        <v>298266</v>
      </c>
      <c r="L9" s="230">
        <v>296605</v>
      </c>
      <c r="M9" s="230">
        <v>349918</v>
      </c>
      <c r="N9" s="230">
        <v>366842</v>
      </c>
      <c r="O9" s="230">
        <v>209667</v>
      </c>
      <c r="P9" s="230">
        <v>234735</v>
      </c>
      <c r="Q9" s="230">
        <v>254712</v>
      </c>
      <c r="R9" s="230">
        <v>250225</v>
      </c>
      <c r="S9" s="230">
        <v>85795</v>
      </c>
      <c r="T9" s="230">
        <v>185461</v>
      </c>
      <c r="U9" s="230">
        <v>99322</v>
      </c>
      <c r="V9" s="230">
        <v>80619</v>
      </c>
      <c r="W9" s="230">
        <v>49127</v>
      </c>
    </row>
    <row r="10" spans="1:23" ht="20.25" x14ac:dyDescent="0.2">
      <c r="A10" s="58"/>
      <c r="B10" s="58"/>
      <c r="C10" s="857" t="s">
        <v>159</v>
      </c>
      <c r="D10" s="857"/>
      <c r="E10" s="857"/>
      <c r="F10" s="857"/>
      <c r="G10" s="230">
        <v>0</v>
      </c>
      <c r="H10" s="230">
        <v>5142</v>
      </c>
      <c r="I10" s="230"/>
      <c r="J10" s="230"/>
      <c r="K10" s="230"/>
      <c r="L10" s="230"/>
      <c r="M10" s="230"/>
      <c r="N10" s="230"/>
      <c r="O10" s="230"/>
      <c r="P10" s="230"/>
      <c r="Q10" s="230"/>
      <c r="R10" s="230">
        <v>23</v>
      </c>
      <c r="S10" s="230">
        <v>4823</v>
      </c>
      <c r="T10" s="230">
        <v>6130</v>
      </c>
      <c r="U10" s="230">
        <v>19833</v>
      </c>
      <c r="V10" s="230"/>
      <c r="W10" s="230"/>
    </row>
    <row r="11" spans="1:23" ht="20.25" x14ac:dyDescent="0.2">
      <c r="A11" s="58"/>
      <c r="B11" s="58"/>
      <c r="C11" s="54" t="s">
        <v>185</v>
      </c>
      <c r="D11" s="58"/>
      <c r="E11" s="58"/>
      <c r="F11" s="58"/>
      <c r="G11" s="193">
        <v>31129.64</v>
      </c>
      <c r="H11" s="193">
        <v>30012</v>
      </c>
      <c r="I11" s="193">
        <v>30964</v>
      </c>
      <c r="J11" s="193">
        <v>30506</v>
      </c>
      <c r="K11" s="193">
        <v>28900</v>
      </c>
      <c r="L11" s="193">
        <v>28036</v>
      </c>
      <c r="M11" s="193"/>
      <c r="N11" s="193"/>
      <c r="O11" s="193"/>
      <c r="P11" s="193"/>
      <c r="Q11" s="193"/>
      <c r="R11" s="193"/>
      <c r="S11" s="193"/>
      <c r="T11" s="193"/>
      <c r="U11" s="193"/>
      <c r="V11" s="193"/>
      <c r="W11" s="193"/>
    </row>
    <row r="12" spans="1:23" ht="20.25" x14ac:dyDescent="0.2">
      <c r="A12" s="58"/>
      <c r="B12" s="58"/>
      <c r="C12" s="54" t="s">
        <v>156</v>
      </c>
      <c r="D12" s="59"/>
      <c r="E12" s="59"/>
      <c r="F12" s="59"/>
      <c r="G12" s="195">
        <v>5968.8799999999992</v>
      </c>
      <c r="H12" s="195">
        <v>4730</v>
      </c>
      <c r="I12" s="195">
        <v>3598</v>
      </c>
      <c r="J12" s="195">
        <f>1663+577</f>
        <v>2240</v>
      </c>
      <c r="K12" s="195">
        <f>5202</f>
        <v>5202</v>
      </c>
      <c r="L12" s="195">
        <v>1840</v>
      </c>
      <c r="M12" s="195">
        <v>1427</v>
      </c>
      <c r="N12" s="195">
        <v>360</v>
      </c>
      <c r="O12" s="195">
        <v>312</v>
      </c>
      <c r="P12" s="195"/>
      <c r="Q12" s="195">
        <v>5593</v>
      </c>
      <c r="R12" s="195">
        <v>3952</v>
      </c>
      <c r="S12" s="195">
        <v>13154</v>
      </c>
      <c r="T12" s="195">
        <v>2441</v>
      </c>
      <c r="U12" s="195"/>
      <c r="V12" s="195"/>
      <c r="W12" s="195"/>
    </row>
    <row r="13" spans="1:23" ht="20.25" x14ac:dyDescent="0.2">
      <c r="A13" s="54"/>
      <c r="B13" s="54"/>
      <c r="C13" s="54" t="s">
        <v>56</v>
      </c>
      <c r="D13" s="54"/>
      <c r="E13" s="54"/>
      <c r="F13" s="54"/>
      <c r="G13" s="196">
        <f>SUM(G8:G12)</f>
        <v>618531.31000000006</v>
      </c>
      <c r="H13" s="196">
        <f>SUM(H8:H12)</f>
        <v>562578</v>
      </c>
      <c r="I13" s="196">
        <f>SUM(I8:I12)</f>
        <v>492507</v>
      </c>
      <c r="J13" s="196">
        <f>SUM(J8:J12)</f>
        <v>537425</v>
      </c>
      <c r="K13" s="196">
        <f>SUM(K8:K12)</f>
        <v>572682</v>
      </c>
      <c r="L13" s="196">
        <f t="shared" ref="L13:W13" si="0">SUM(L8:L12)</f>
        <v>469296</v>
      </c>
      <c r="M13" s="196">
        <f t="shared" si="0"/>
        <v>433847</v>
      </c>
      <c r="N13" s="196">
        <f t="shared" si="0"/>
        <v>412960</v>
      </c>
      <c r="O13" s="196">
        <f t="shared" si="0"/>
        <v>315437</v>
      </c>
      <c r="P13" s="196">
        <f t="shared" si="0"/>
        <v>264210</v>
      </c>
      <c r="Q13" s="196">
        <f t="shared" si="0"/>
        <v>282842</v>
      </c>
      <c r="R13" s="196">
        <f t="shared" si="0"/>
        <v>297135</v>
      </c>
      <c r="S13" s="196">
        <f t="shared" si="0"/>
        <v>248165</v>
      </c>
      <c r="T13" s="196">
        <f t="shared" si="0"/>
        <v>236446</v>
      </c>
      <c r="U13" s="196">
        <f t="shared" si="0"/>
        <v>198158</v>
      </c>
      <c r="V13" s="196">
        <f t="shared" si="0"/>
        <v>173386</v>
      </c>
      <c r="W13" s="196">
        <f t="shared" si="0"/>
        <v>62277</v>
      </c>
    </row>
    <row r="14" spans="1:23" ht="20.25" x14ac:dyDescent="0.2">
      <c r="A14" s="54"/>
      <c r="B14" s="54"/>
      <c r="C14" s="54"/>
      <c r="D14" s="54"/>
      <c r="E14" s="54"/>
      <c r="F14" s="54"/>
      <c r="G14" s="196"/>
      <c r="H14" s="196"/>
      <c r="I14" s="196"/>
      <c r="J14" s="196"/>
      <c r="K14" s="196"/>
      <c r="L14" s="196"/>
      <c r="M14" s="196"/>
      <c r="N14" s="196"/>
      <c r="O14" s="196"/>
      <c r="P14" s="196"/>
      <c r="Q14" s="196"/>
      <c r="R14" s="196"/>
      <c r="S14" s="196"/>
      <c r="T14" s="196"/>
      <c r="U14" s="196"/>
      <c r="V14" s="196"/>
      <c r="W14" s="196"/>
    </row>
    <row r="15" spans="1:23" ht="20.25" x14ac:dyDescent="0.3">
      <c r="A15" s="56"/>
      <c r="B15" s="56" t="s">
        <v>186</v>
      </c>
      <c r="C15" s="56"/>
      <c r="D15" s="56"/>
      <c r="E15" s="56"/>
      <c r="F15" s="56"/>
      <c r="G15" s="218"/>
      <c r="H15" s="218"/>
      <c r="I15" s="218"/>
      <c r="J15" s="218"/>
      <c r="K15" s="218"/>
      <c r="L15" s="218"/>
      <c r="M15" s="218"/>
      <c r="N15" s="218"/>
      <c r="O15" s="218"/>
      <c r="P15" s="218"/>
      <c r="Q15" s="218"/>
      <c r="R15" s="218"/>
      <c r="S15" s="218"/>
      <c r="T15" s="218"/>
      <c r="U15" s="218"/>
      <c r="V15" s="218"/>
      <c r="W15" s="218"/>
    </row>
    <row r="16" spans="1:23" ht="20.25" x14ac:dyDescent="0.3">
      <c r="A16" s="56"/>
      <c r="B16" s="56"/>
      <c r="C16" s="56"/>
      <c r="D16" s="56"/>
      <c r="E16" s="56"/>
      <c r="F16" s="56"/>
      <c r="G16" s="218">
        <v>121148.45000000001</v>
      </c>
      <c r="H16" s="218">
        <v>88948</v>
      </c>
      <c r="I16" s="218">
        <v>81381</v>
      </c>
      <c r="J16" s="218">
        <v>85951</v>
      </c>
      <c r="K16" s="218">
        <v>75213</v>
      </c>
      <c r="L16" s="218">
        <v>103757</v>
      </c>
      <c r="M16" s="218">
        <v>72661</v>
      </c>
      <c r="N16" s="218">
        <v>91918</v>
      </c>
      <c r="O16" s="218">
        <v>80411</v>
      </c>
      <c r="P16" s="218">
        <v>57354</v>
      </c>
      <c r="Q16" s="218">
        <v>59451</v>
      </c>
      <c r="R16" s="218">
        <v>70947</v>
      </c>
      <c r="S16" s="218">
        <v>80279</v>
      </c>
      <c r="T16" s="218">
        <v>84266</v>
      </c>
      <c r="U16" s="218">
        <v>45164</v>
      </c>
      <c r="V16" s="218">
        <v>15210</v>
      </c>
      <c r="W16" s="218">
        <v>15599</v>
      </c>
    </row>
    <row r="17" spans="1:23" ht="20.25" hidden="1" x14ac:dyDescent="0.2">
      <c r="A17" s="54"/>
      <c r="B17" s="54"/>
      <c r="C17" s="54"/>
      <c r="D17" s="54"/>
      <c r="E17" s="54"/>
      <c r="F17" s="54"/>
      <c r="G17" s="196"/>
      <c r="H17" s="196"/>
      <c r="I17" s="196"/>
      <c r="J17" s="196"/>
      <c r="K17" s="196"/>
      <c r="L17" s="196"/>
      <c r="M17" s="196"/>
      <c r="N17" s="196"/>
      <c r="O17" s="196"/>
      <c r="P17" s="196"/>
      <c r="Q17" s="196"/>
      <c r="R17" s="196"/>
      <c r="S17" s="196"/>
      <c r="T17" s="196"/>
      <c r="U17" s="196"/>
      <c r="V17" s="196"/>
      <c r="W17" s="196"/>
    </row>
    <row r="18" spans="1:23" ht="20.25" hidden="1" x14ac:dyDescent="0.2">
      <c r="A18" s="54"/>
      <c r="B18" s="54"/>
      <c r="C18" s="54"/>
      <c r="D18" s="54"/>
      <c r="E18" s="54"/>
      <c r="F18" s="54"/>
      <c r="G18" s="193"/>
      <c r="H18" s="193"/>
      <c r="I18" s="193"/>
      <c r="J18" s="193"/>
      <c r="K18" s="193"/>
      <c r="L18" s="193"/>
      <c r="M18" s="193"/>
      <c r="N18" s="193"/>
      <c r="O18" s="193"/>
      <c r="P18" s="193"/>
      <c r="Q18" s="193"/>
      <c r="R18" s="193"/>
      <c r="S18" s="193"/>
      <c r="T18" s="193"/>
      <c r="U18" s="193"/>
      <c r="V18" s="193"/>
      <c r="W18" s="193"/>
    </row>
    <row r="19" spans="1:23" ht="27" thickBot="1" x14ac:dyDescent="0.25">
      <c r="A19" s="61" t="s">
        <v>58</v>
      </c>
      <c r="B19" s="61"/>
      <c r="C19" s="61"/>
      <c r="D19" s="61"/>
      <c r="E19" s="61"/>
      <c r="F19" s="61"/>
      <c r="G19" s="203">
        <f>G13+G16</f>
        <v>739679.76</v>
      </c>
      <c r="H19" s="203">
        <f>H13+H16</f>
        <v>651526</v>
      </c>
      <c r="I19" s="203">
        <f>I13+I16</f>
        <v>573888</v>
      </c>
      <c r="J19" s="203">
        <f>J13+J16</f>
        <v>623376</v>
      </c>
      <c r="K19" s="203">
        <f>K13+K16</f>
        <v>647895</v>
      </c>
      <c r="L19" s="203">
        <f t="shared" ref="L19:W19" si="1">L13+L16</f>
        <v>573053</v>
      </c>
      <c r="M19" s="203">
        <f t="shared" si="1"/>
        <v>506508</v>
      </c>
      <c r="N19" s="203">
        <f t="shared" si="1"/>
        <v>504878</v>
      </c>
      <c r="O19" s="203">
        <f t="shared" si="1"/>
        <v>395848</v>
      </c>
      <c r="P19" s="203">
        <f t="shared" si="1"/>
        <v>321564</v>
      </c>
      <c r="Q19" s="203">
        <f t="shared" si="1"/>
        <v>342293</v>
      </c>
      <c r="R19" s="203">
        <f t="shared" si="1"/>
        <v>368082</v>
      </c>
      <c r="S19" s="203">
        <f t="shared" si="1"/>
        <v>328444</v>
      </c>
      <c r="T19" s="203">
        <f t="shared" si="1"/>
        <v>320712</v>
      </c>
      <c r="U19" s="203">
        <f t="shared" si="1"/>
        <v>243322</v>
      </c>
      <c r="V19" s="203">
        <f t="shared" si="1"/>
        <v>188596</v>
      </c>
      <c r="W19" s="203">
        <f t="shared" si="1"/>
        <v>77876</v>
      </c>
    </row>
    <row r="20" spans="1:23" ht="21.75" thickTop="1" thickBot="1" x14ac:dyDescent="0.25">
      <c r="A20" s="54"/>
      <c r="B20" s="54"/>
      <c r="C20" s="54"/>
      <c r="D20" s="54"/>
      <c r="E20" s="54"/>
      <c r="F20" s="54"/>
      <c r="G20" s="273"/>
      <c r="H20" s="273"/>
      <c r="I20" s="273"/>
      <c r="J20" s="273"/>
      <c r="K20" s="273"/>
      <c r="L20" s="273"/>
      <c r="M20" s="273"/>
      <c r="N20" s="273"/>
      <c r="O20" s="273"/>
      <c r="P20" s="273"/>
      <c r="Q20" s="273"/>
      <c r="R20" s="273"/>
      <c r="S20" s="273"/>
      <c r="T20" s="273"/>
      <c r="U20" s="273"/>
      <c r="V20" s="273"/>
      <c r="W20" s="273"/>
    </row>
    <row r="21" spans="1:23" ht="27.75" thickTop="1" thickBot="1" x14ac:dyDescent="0.25">
      <c r="A21" s="51"/>
      <c r="B21" s="51"/>
      <c r="C21" s="51"/>
      <c r="D21" s="51" t="s">
        <v>59</v>
      </c>
      <c r="E21" s="51"/>
      <c r="F21" s="51"/>
      <c r="G21" s="199"/>
      <c r="H21" s="199"/>
      <c r="I21" s="199"/>
      <c r="J21" s="199"/>
      <c r="K21" s="199"/>
      <c r="L21" s="199"/>
      <c r="M21" s="199"/>
      <c r="N21" s="199"/>
      <c r="O21" s="199"/>
      <c r="P21" s="199"/>
      <c r="Q21" s="199"/>
      <c r="R21" s="199"/>
      <c r="S21" s="199"/>
      <c r="T21" s="199"/>
      <c r="U21" s="199"/>
      <c r="V21" s="199"/>
      <c r="W21" s="199"/>
    </row>
    <row r="22" spans="1:23" ht="21" thickTop="1" x14ac:dyDescent="0.2">
      <c r="A22" s="54"/>
      <c r="B22" s="54"/>
      <c r="C22" s="54"/>
      <c r="D22" s="54"/>
      <c r="E22" s="54"/>
      <c r="F22" s="54"/>
      <c r="G22" s="193"/>
      <c r="H22" s="193"/>
      <c r="I22" s="193"/>
      <c r="J22" s="193"/>
      <c r="K22" s="193"/>
      <c r="L22" s="193"/>
      <c r="M22" s="193"/>
      <c r="N22" s="193"/>
      <c r="O22" s="193"/>
      <c r="P22" s="193"/>
      <c r="Q22" s="193"/>
      <c r="R22" s="193"/>
      <c r="S22" s="193"/>
      <c r="T22" s="193"/>
      <c r="U22" s="193"/>
      <c r="V22" s="193"/>
      <c r="W22" s="193"/>
    </row>
    <row r="23" spans="1:23" ht="24" hidden="1" thickBot="1" x14ac:dyDescent="0.25">
      <c r="A23" s="54"/>
      <c r="B23" s="65" t="s">
        <v>60</v>
      </c>
      <c r="C23" s="66"/>
      <c r="D23" s="66"/>
      <c r="E23" s="66"/>
      <c r="F23" s="66"/>
      <c r="G23" s="200"/>
      <c r="H23" s="200"/>
      <c r="I23" s="200"/>
      <c r="J23" s="200"/>
      <c r="K23" s="200"/>
      <c r="L23" s="200"/>
      <c r="M23" s="200"/>
      <c r="N23" s="200"/>
      <c r="O23" s="200"/>
      <c r="P23" s="200"/>
      <c r="Q23" s="200"/>
      <c r="R23" s="200"/>
      <c r="S23" s="200"/>
      <c r="T23" s="200"/>
      <c r="U23" s="200"/>
      <c r="V23" s="200"/>
      <c r="W23" s="200"/>
    </row>
    <row r="24" spans="1:23" ht="20.25" hidden="1" x14ac:dyDescent="0.2">
      <c r="A24" s="54"/>
      <c r="B24" s="54"/>
      <c r="C24" s="54"/>
      <c r="D24" s="54"/>
      <c r="E24" s="54"/>
      <c r="F24" s="54"/>
      <c r="G24" s="193"/>
      <c r="H24" s="193"/>
      <c r="I24" s="193"/>
      <c r="J24" s="193"/>
      <c r="K24" s="193"/>
      <c r="L24" s="193"/>
      <c r="M24" s="193"/>
      <c r="N24" s="193"/>
      <c r="O24" s="193"/>
      <c r="P24" s="193"/>
      <c r="Q24" s="193"/>
      <c r="R24" s="193"/>
      <c r="S24" s="193"/>
      <c r="T24" s="193"/>
      <c r="U24" s="193"/>
      <c r="V24" s="193"/>
      <c r="W24" s="193"/>
    </row>
    <row r="25" spans="1:23" ht="21" thickBot="1" x14ac:dyDescent="0.35">
      <c r="A25" s="56"/>
      <c r="B25" s="120" t="s">
        <v>187</v>
      </c>
      <c r="C25" s="121"/>
      <c r="D25" s="120"/>
      <c r="E25" s="120"/>
      <c r="F25" s="120"/>
      <c r="G25" s="194"/>
      <c r="H25" s="194"/>
      <c r="I25" s="194"/>
      <c r="J25" s="194"/>
      <c r="K25" s="194"/>
      <c r="L25" s="194"/>
      <c r="M25" s="194"/>
      <c r="N25" s="194"/>
      <c r="O25" s="194"/>
      <c r="P25" s="194"/>
      <c r="Q25" s="194"/>
      <c r="R25" s="194"/>
      <c r="S25" s="194"/>
      <c r="T25" s="194"/>
      <c r="U25" s="194"/>
      <c r="V25" s="194"/>
      <c r="W25" s="194"/>
    </row>
    <row r="26" spans="1:23" ht="20.25" x14ac:dyDescent="0.2">
      <c r="A26" s="58"/>
      <c r="B26" s="58"/>
      <c r="C26" s="58"/>
      <c r="D26" s="58" t="s">
        <v>148</v>
      </c>
      <c r="E26" s="55"/>
      <c r="F26" s="58"/>
      <c r="G26" s="202">
        <v>31278.429999999997</v>
      </c>
      <c r="H26" s="202">
        <v>51714</v>
      </c>
      <c r="I26" s="202">
        <v>52083</v>
      </c>
      <c r="J26" s="202">
        <v>69820</v>
      </c>
      <c r="K26" s="202">
        <v>81032</v>
      </c>
      <c r="L26" s="202">
        <v>64928</v>
      </c>
      <c r="M26" s="202">
        <v>89064</v>
      </c>
      <c r="N26" s="202">
        <v>102814</v>
      </c>
      <c r="O26" s="202">
        <v>27734</v>
      </c>
      <c r="P26" s="202">
        <v>33537</v>
      </c>
      <c r="Q26" s="202">
        <v>47914</v>
      </c>
      <c r="R26" s="202">
        <v>42054</v>
      </c>
      <c r="S26" s="202">
        <v>32004</v>
      </c>
      <c r="T26" s="202">
        <v>28904</v>
      </c>
      <c r="U26" s="202">
        <v>2405</v>
      </c>
      <c r="V26" s="202">
        <v>7686</v>
      </c>
      <c r="W26" s="202">
        <v>0</v>
      </c>
    </row>
    <row r="27" spans="1:23" ht="20.25" x14ac:dyDescent="0.2">
      <c r="A27" s="58"/>
      <c r="B27" s="58"/>
      <c r="C27" s="58"/>
      <c r="D27" s="58" t="s">
        <v>188</v>
      </c>
      <c r="E27" s="55"/>
      <c r="F27" s="58"/>
      <c r="G27" s="193">
        <v>16019.88</v>
      </c>
      <c r="H27" s="193">
        <v>26466</v>
      </c>
      <c r="I27" s="193">
        <v>33722</v>
      </c>
      <c r="J27" s="193">
        <v>37279</v>
      </c>
      <c r="K27" s="193">
        <v>34130</v>
      </c>
      <c r="L27" s="193">
        <v>30917</v>
      </c>
      <c r="M27" s="193">
        <v>24891</v>
      </c>
      <c r="N27" s="193">
        <v>22167</v>
      </c>
      <c r="O27" s="193">
        <v>16739</v>
      </c>
      <c r="P27" s="193">
        <v>13502</v>
      </c>
      <c r="Q27" s="193">
        <v>10581</v>
      </c>
      <c r="R27" s="193">
        <v>28556</v>
      </c>
      <c r="S27" s="193">
        <v>22953</v>
      </c>
      <c r="T27" s="193">
        <v>13246</v>
      </c>
      <c r="U27" s="193">
        <v>10214</v>
      </c>
      <c r="V27" s="193">
        <v>5966</v>
      </c>
      <c r="W27" s="193">
        <v>2341</v>
      </c>
    </row>
    <row r="28" spans="1:23" ht="20.25" x14ac:dyDescent="0.2">
      <c r="A28" s="58"/>
      <c r="B28" s="58"/>
      <c r="C28" s="58"/>
      <c r="D28" s="58" t="s">
        <v>87</v>
      </c>
      <c r="E28" s="55"/>
      <c r="F28" s="58"/>
      <c r="G28" s="193">
        <v>19094</v>
      </c>
      <c r="H28" s="193">
        <v>21990</v>
      </c>
      <c r="I28" s="193">
        <v>17053</v>
      </c>
      <c r="J28" s="193">
        <v>23081</v>
      </c>
      <c r="K28" s="193">
        <v>20125</v>
      </c>
      <c r="L28" s="193">
        <v>23900</v>
      </c>
      <c r="M28" s="193">
        <v>25993</v>
      </c>
      <c r="N28" s="193">
        <v>25084</v>
      </c>
      <c r="O28" s="193">
        <v>17164</v>
      </c>
      <c r="P28" s="193">
        <v>23194</v>
      </c>
      <c r="Q28" s="193">
        <v>17986</v>
      </c>
      <c r="R28" s="193">
        <v>19684</v>
      </c>
      <c r="S28" s="193">
        <v>15461</v>
      </c>
      <c r="T28" s="193">
        <v>11736</v>
      </c>
      <c r="U28" s="193">
        <v>6552</v>
      </c>
      <c r="V28" s="193">
        <v>4625</v>
      </c>
      <c r="W28" s="193"/>
    </row>
    <row r="29" spans="1:23" ht="20.25" x14ac:dyDescent="0.2">
      <c r="A29" s="58"/>
      <c r="B29" s="58"/>
      <c r="C29" s="58"/>
      <c r="D29" s="58" t="s">
        <v>189</v>
      </c>
      <c r="E29" s="55"/>
      <c r="F29" s="58"/>
      <c r="G29" s="193"/>
      <c r="H29" s="193">
        <v>463</v>
      </c>
      <c r="I29" s="193">
        <f>1236+16400</f>
        <v>17636</v>
      </c>
      <c r="J29" s="193">
        <v>13302</v>
      </c>
      <c r="K29" s="193">
        <v>5311</v>
      </c>
      <c r="L29" s="193">
        <v>12315</v>
      </c>
      <c r="M29" s="193"/>
      <c r="N29" s="193"/>
      <c r="O29" s="193"/>
      <c r="P29" s="193">
        <v>20000</v>
      </c>
      <c r="Q29" s="193"/>
      <c r="R29" s="193">
        <v>25000</v>
      </c>
      <c r="S29" s="193"/>
      <c r="T29" s="193"/>
      <c r="U29" s="193"/>
      <c r="V29" s="193"/>
      <c r="W29" s="193">
        <v>48000</v>
      </c>
    </row>
    <row r="30" spans="1:23" ht="20.25" x14ac:dyDescent="0.2">
      <c r="A30" s="58"/>
      <c r="B30" s="58"/>
      <c r="C30" s="58"/>
      <c r="D30" s="58" t="s">
        <v>94</v>
      </c>
      <c r="E30" s="55"/>
      <c r="F30" s="58"/>
      <c r="G30" s="193">
        <v>136592.41</v>
      </c>
      <c r="H30" s="193">
        <v>101837</v>
      </c>
      <c r="I30" s="193">
        <v>31429</v>
      </c>
      <c r="J30" s="193">
        <v>21927</v>
      </c>
      <c r="K30" s="193">
        <v>24493</v>
      </c>
      <c r="L30" s="193">
        <v>23546</v>
      </c>
      <c r="M30" s="193">
        <v>29986</v>
      </c>
      <c r="N30" s="193">
        <v>97627</v>
      </c>
      <c r="O30" s="193">
        <v>91085</v>
      </c>
      <c r="P30" s="193">
        <v>6118</v>
      </c>
      <c r="Q30" s="193">
        <v>42621</v>
      </c>
      <c r="R30" s="193"/>
      <c r="S30" s="193">
        <v>13218</v>
      </c>
      <c r="T30" s="193">
        <v>36938</v>
      </c>
      <c r="U30" s="193">
        <v>40000</v>
      </c>
      <c r="V30" s="193">
        <v>38354</v>
      </c>
      <c r="W30" s="193">
        <v>11775</v>
      </c>
    </row>
    <row r="31" spans="1:23" ht="20.25" x14ac:dyDescent="0.2">
      <c r="A31" s="58"/>
      <c r="B31" s="58"/>
      <c r="C31" s="58"/>
      <c r="D31" s="59" t="s">
        <v>190</v>
      </c>
      <c r="E31" s="119"/>
      <c r="F31" s="59"/>
      <c r="G31" s="193"/>
      <c r="H31" s="193"/>
      <c r="I31" s="193"/>
      <c r="J31" s="193"/>
      <c r="K31" s="193"/>
      <c r="L31" s="193"/>
      <c r="M31" s="193"/>
      <c r="N31" s="193"/>
      <c r="O31" s="193"/>
      <c r="P31" s="193"/>
      <c r="Q31" s="193"/>
      <c r="R31" s="193"/>
      <c r="S31" s="193"/>
      <c r="T31" s="193"/>
      <c r="U31" s="193"/>
      <c r="V31" s="193"/>
      <c r="W31" s="193"/>
    </row>
    <row r="32" spans="1:23" ht="20.25" x14ac:dyDescent="0.2">
      <c r="A32" s="58"/>
      <c r="B32" s="58"/>
      <c r="C32" s="60" t="s">
        <v>71</v>
      </c>
      <c r="D32" s="58"/>
      <c r="E32" s="55"/>
      <c r="F32" s="58"/>
      <c r="G32" s="201">
        <f>SUM(G26:G31)</f>
        <v>202984.72</v>
      </c>
      <c r="H32" s="201">
        <f>SUM(H26:H31)</f>
        <v>202470</v>
      </c>
      <c r="I32" s="201">
        <f>SUM(I26:I31)</f>
        <v>151923</v>
      </c>
      <c r="J32" s="201">
        <f>SUM(J26:J31)</f>
        <v>165409</v>
      </c>
      <c r="K32" s="201">
        <f>SUM(K26:K31)</f>
        <v>165091</v>
      </c>
      <c r="L32" s="201">
        <f t="shared" ref="L32:W32" si="2">SUM(L26:L31)</f>
        <v>155606</v>
      </c>
      <c r="M32" s="201">
        <f t="shared" si="2"/>
        <v>169934</v>
      </c>
      <c r="N32" s="201">
        <f t="shared" si="2"/>
        <v>247692</v>
      </c>
      <c r="O32" s="201">
        <f t="shared" si="2"/>
        <v>152722</v>
      </c>
      <c r="P32" s="201">
        <f t="shared" si="2"/>
        <v>96351</v>
      </c>
      <c r="Q32" s="201">
        <f t="shared" si="2"/>
        <v>119102</v>
      </c>
      <c r="R32" s="201">
        <f t="shared" si="2"/>
        <v>115294</v>
      </c>
      <c r="S32" s="201">
        <f t="shared" si="2"/>
        <v>83636</v>
      </c>
      <c r="T32" s="201">
        <f t="shared" si="2"/>
        <v>90824</v>
      </c>
      <c r="U32" s="201">
        <f t="shared" si="2"/>
        <v>59171</v>
      </c>
      <c r="V32" s="201">
        <f t="shared" si="2"/>
        <v>56631</v>
      </c>
      <c r="W32" s="201">
        <f t="shared" si="2"/>
        <v>62116</v>
      </c>
    </row>
    <row r="33" spans="1:23" ht="20.25" x14ac:dyDescent="0.2">
      <c r="A33" s="58"/>
      <c r="B33" s="58"/>
      <c r="C33" s="58"/>
      <c r="D33" s="58"/>
      <c r="E33" s="58"/>
      <c r="F33" s="58"/>
      <c r="G33" s="193"/>
      <c r="H33" s="193"/>
      <c r="I33" s="193"/>
      <c r="J33" s="193"/>
      <c r="K33" s="193"/>
      <c r="L33" s="193"/>
      <c r="M33" s="193"/>
      <c r="N33" s="193"/>
      <c r="O33" s="193"/>
      <c r="P33" s="193"/>
      <c r="Q33" s="193"/>
      <c r="R33" s="193"/>
      <c r="S33" s="193"/>
      <c r="T33" s="193"/>
      <c r="U33" s="193"/>
      <c r="V33" s="193"/>
      <c r="W33" s="193"/>
    </row>
    <row r="34" spans="1:23" ht="20.25" x14ac:dyDescent="0.2">
      <c r="A34" s="54"/>
      <c r="B34" s="54"/>
      <c r="C34" s="54"/>
      <c r="D34" s="54"/>
      <c r="E34" s="54"/>
      <c r="F34" s="54"/>
      <c r="G34" s="332"/>
      <c r="H34" s="332"/>
      <c r="I34" s="332"/>
      <c r="J34" s="332"/>
      <c r="K34" s="332"/>
      <c r="L34" s="196"/>
      <c r="M34" s="196"/>
      <c r="N34" s="196"/>
      <c r="O34" s="196"/>
      <c r="P34" s="196"/>
      <c r="Q34" s="196"/>
      <c r="R34" s="196"/>
      <c r="S34" s="196"/>
      <c r="T34" s="196"/>
      <c r="U34" s="196"/>
      <c r="V34" s="196"/>
      <c r="W34" s="196"/>
    </row>
    <row r="35" spans="1:23" ht="24" thickBot="1" x14ac:dyDescent="0.25">
      <c r="A35" s="54"/>
      <c r="B35" s="65" t="s">
        <v>191</v>
      </c>
      <c r="C35" s="66"/>
      <c r="D35" s="66"/>
      <c r="E35" s="66"/>
      <c r="F35" s="66"/>
      <c r="G35" s="200"/>
      <c r="H35" s="200"/>
      <c r="I35" s="200"/>
      <c r="J35" s="200"/>
      <c r="K35" s="200"/>
      <c r="L35" s="200"/>
      <c r="M35" s="200"/>
      <c r="N35" s="200"/>
      <c r="O35" s="200"/>
      <c r="P35" s="200"/>
      <c r="Q35" s="200"/>
      <c r="R35" s="200"/>
      <c r="S35" s="200"/>
      <c r="T35" s="200"/>
      <c r="U35" s="200"/>
      <c r="V35" s="200"/>
      <c r="W35" s="200"/>
    </row>
    <row r="36" spans="1:23" ht="23.25" x14ac:dyDescent="0.2">
      <c r="A36" s="54"/>
      <c r="B36" s="222"/>
      <c r="C36" s="54"/>
      <c r="D36" s="58" t="s">
        <v>90</v>
      </c>
      <c r="E36" s="54"/>
      <c r="F36" s="54"/>
      <c r="G36" s="193">
        <v>55367.21</v>
      </c>
      <c r="H36" s="193">
        <v>52578</v>
      </c>
      <c r="I36" s="193">
        <v>54372</v>
      </c>
      <c r="J36" s="193">
        <v>74343</v>
      </c>
      <c r="K36" s="193">
        <v>140489</v>
      </c>
      <c r="L36" s="193">
        <v>85282</v>
      </c>
      <c r="M36" s="193">
        <v>9601</v>
      </c>
      <c r="N36" s="193">
        <v>9601</v>
      </c>
      <c r="O36" s="193">
        <v>5248</v>
      </c>
      <c r="P36" s="193">
        <v>4472</v>
      </c>
      <c r="Q36" s="193">
        <v>15207</v>
      </c>
      <c r="R36" s="193"/>
      <c r="S36" s="193"/>
      <c r="T36" s="193"/>
      <c r="U36" s="193"/>
      <c r="V36" s="193"/>
      <c r="W36" s="193"/>
    </row>
    <row r="37" spans="1:23" ht="21" thickBot="1" x14ac:dyDescent="0.25">
      <c r="A37" s="58"/>
      <c r="B37" s="58"/>
      <c r="C37" s="55"/>
      <c r="D37" s="58" t="s">
        <v>84</v>
      </c>
      <c r="E37" s="328"/>
      <c r="F37" s="328"/>
      <c r="G37" s="200">
        <v>481327.83000000013</v>
      </c>
      <c r="H37" s="200">
        <v>396478</v>
      </c>
      <c r="I37" s="200">
        <v>367593</v>
      </c>
      <c r="J37" s="200">
        <v>383624</v>
      </c>
      <c r="K37" s="200">
        <v>342315</v>
      </c>
      <c r="L37" s="200">
        <v>332165</v>
      </c>
      <c r="M37" s="200">
        <v>326973</v>
      </c>
      <c r="N37" s="200">
        <v>247585</v>
      </c>
      <c r="O37" s="200">
        <v>237878</v>
      </c>
      <c r="P37" s="200">
        <v>220741</v>
      </c>
      <c r="Q37" s="200">
        <v>207984</v>
      </c>
      <c r="R37" s="200">
        <v>252788</v>
      </c>
      <c r="S37" s="200">
        <v>244808</v>
      </c>
      <c r="T37" s="200">
        <v>229888</v>
      </c>
      <c r="U37" s="200">
        <v>184151</v>
      </c>
      <c r="V37" s="200">
        <v>131965</v>
      </c>
      <c r="W37" s="200">
        <v>15760</v>
      </c>
    </row>
    <row r="38" spans="1:23" ht="23.25" x14ac:dyDescent="0.2">
      <c r="A38" s="54"/>
      <c r="B38" s="68" t="s">
        <v>63</v>
      </c>
      <c r="C38" s="69"/>
      <c r="D38" s="69"/>
      <c r="E38" s="54"/>
      <c r="F38" s="54"/>
      <c r="G38" s="196">
        <f>G36+G37</f>
        <v>536695.04000000015</v>
      </c>
      <c r="H38" s="196">
        <f>H36+H37</f>
        <v>449056</v>
      </c>
      <c r="I38" s="196">
        <f>I36+I37</f>
        <v>421965</v>
      </c>
      <c r="J38" s="196">
        <f>J36+J37</f>
        <v>457967</v>
      </c>
      <c r="K38" s="196">
        <f>K36+K37</f>
        <v>482804</v>
      </c>
      <c r="L38" s="196">
        <f t="shared" ref="L38:W38" si="3">L36+L37</f>
        <v>417447</v>
      </c>
      <c r="M38" s="196">
        <f t="shared" si="3"/>
        <v>336574</v>
      </c>
      <c r="N38" s="196">
        <f t="shared" si="3"/>
        <v>257186</v>
      </c>
      <c r="O38" s="196">
        <f t="shared" si="3"/>
        <v>243126</v>
      </c>
      <c r="P38" s="196">
        <f t="shared" si="3"/>
        <v>225213</v>
      </c>
      <c r="Q38" s="196">
        <f t="shared" si="3"/>
        <v>223191</v>
      </c>
      <c r="R38" s="196">
        <f t="shared" si="3"/>
        <v>252788</v>
      </c>
      <c r="S38" s="196">
        <f t="shared" si="3"/>
        <v>244808</v>
      </c>
      <c r="T38" s="196">
        <f t="shared" si="3"/>
        <v>229888</v>
      </c>
      <c r="U38" s="196">
        <f t="shared" si="3"/>
        <v>184151</v>
      </c>
      <c r="V38" s="196">
        <f t="shared" si="3"/>
        <v>131965</v>
      </c>
      <c r="W38" s="196">
        <f t="shared" si="3"/>
        <v>15760</v>
      </c>
    </row>
    <row r="39" spans="1:23" ht="20.25" x14ac:dyDescent="0.2">
      <c r="A39" s="54"/>
      <c r="B39" s="54"/>
      <c r="C39" s="54"/>
      <c r="D39" s="54"/>
      <c r="E39" s="54"/>
      <c r="F39" s="54"/>
      <c r="G39" s="195"/>
      <c r="H39" s="195"/>
      <c r="I39" s="195"/>
      <c r="J39" s="195"/>
      <c r="K39" s="195"/>
      <c r="L39" s="195"/>
      <c r="M39" s="195"/>
      <c r="N39" s="195"/>
      <c r="O39" s="195"/>
      <c r="P39" s="195"/>
      <c r="Q39" s="195"/>
      <c r="R39" s="195"/>
      <c r="S39" s="195"/>
      <c r="T39" s="195"/>
      <c r="U39" s="195"/>
      <c r="V39" s="195"/>
      <c r="W39" s="195"/>
    </row>
    <row r="40" spans="1:23" ht="27" thickBot="1" x14ac:dyDescent="0.25">
      <c r="A40" s="61" t="s">
        <v>64</v>
      </c>
      <c r="B40" s="61"/>
      <c r="C40" s="61"/>
      <c r="D40" s="61"/>
      <c r="E40" s="61"/>
      <c r="F40" s="61"/>
      <c r="G40" s="297">
        <f>G32+G38</f>
        <v>739679.76000000013</v>
      </c>
      <c r="H40" s="297">
        <f>H32+H38</f>
        <v>651526</v>
      </c>
      <c r="I40" s="297">
        <f>I32+I38</f>
        <v>573888</v>
      </c>
      <c r="J40" s="297">
        <f>J32+J38</f>
        <v>623376</v>
      </c>
      <c r="K40" s="297">
        <f>K32+K38</f>
        <v>647895</v>
      </c>
      <c r="L40" s="297">
        <f t="shared" ref="L40:W40" si="4">L32+L38</f>
        <v>573053</v>
      </c>
      <c r="M40" s="297">
        <f t="shared" si="4"/>
        <v>506508</v>
      </c>
      <c r="N40" s="297">
        <f t="shared" si="4"/>
        <v>504878</v>
      </c>
      <c r="O40" s="297">
        <f t="shared" si="4"/>
        <v>395848</v>
      </c>
      <c r="P40" s="297">
        <f t="shared" si="4"/>
        <v>321564</v>
      </c>
      <c r="Q40" s="297">
        <f t="shared" si="4"/>
        <v>342293</v>
      </c>
      <c r="R40" s="297">
        <f t="shared" si="4"/>
        <v>368082</v>
      </c>
      <c r="S40" s="297">
        <f t="shared" si="4"/>
        <v>328444</v>
      </c>
      <c r="T40" s="297">
        <f t="shared" si="4"/>
        <v>320712</v>
      </c>
      <c r="U40" s="297">
        <f t="shared" si="4"/>
        <v>243322</v>
      </c>
      <c r="V40" s="297">
        <f t="shared" si="4"/>
        <v>188596</v>
      </c>
      <c r="W40" s="297">
        <f t="shared" si="4"/>
        <v>77876</v>
      </c>
    </row>
    <row r="41" spans="1:23" ht="15" thickTop="1" x14ac:dyDescent="0.2">
      <c r="D41" s="286"/>
    </row>
    <row r="42" spans="1:23" s="190" customFormat="1" x14ac:dyDescent="0.2">
      <c r="A42" s="331"/>
      <c r="B42" s="331"/>
      <c r="C42" s="331"/>
      <c r="D42" s="331"/>
      <c r="E42" s="331"/>
      <c r="F42" s="331"/>
    </row>
    <row r="43" spans="1:23" s="190" customFormat="1" x14ac:dyDescent="0.2">
      <c r="A43" s="331"/>
      <c r="B43" s="331"/>
      <c r="C43" s="331"/>
      <c r="D43" s="331"/>
      <c r="E43" s="331"/>
      <c r="F43" s="331"/>
    </row>
    <row r="44" spans="1:23" s="190" customFormat="1" x14ac:dyDescent="0.2">
      <c r="A44" s="331"/>
      <c r="B44" s="331"/>
      <c r="C44" s="331"/>
      <c r="D44" s="331"/>
      <c r="E44" s="331"/>
      <c r="F44" s="331"/>
    </row>
    <row r="45" spans="1:23" s="190" customFormat="1" x14ac:dyDescent="0.2">
      <c r="A45" s="331"/>
      <c r="B45" s="331"/>
      <c r="C45" s="331"/>
      <c r="D45" s="331"/>
      <c r="E45" s="331"/>
      <c r="F45" s="331"/>
    </row>
  </sheetData>
  <mergeCells count="2">
    <mergeCell ref="B6:F6"/>
    <mergeCell ref="C10:F10"/>
  </mergeCells>
  <pageMargins left="0.2" right="0.2" top="1.25" bottom="0.5" header="0.3" footer="0.3"/>
  <pageSetup paperSize="5"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12</vt:i4>
      </vt:variant>
    </vt:vector>
  </HeadingPairs>
  <TitlesOfParts>
    <vt:vector size="33" baseType="lpstr">
      <vt:lpstr>Updated  Operating Budget</vt:lpstr>
      <vt:lpstr>2023 Operating Budget</vt:lpstr>
      <vt:lpstr>Transportation Historic</vt:lpstr>
      <vt:lpstr>2024 Operating Budget</vt:lpstr>
      <vt:lpstr>Notes</vt:lpstr>
      <vt:lpstr>Data</vt:lpstr>
      <vt:lpstr>Updated Operating Budget</vt:lpstr>
      <vt:lpstr>April'24 Revenues &amp; Expenses</vt:lpstr>
      <vt:lpstr>April'24 AR Aging </vt:lpstr>
      <vt:lpstr>April'24 Financial Position</vt:lpstr>
      <vt:lpstr>April'24 State of Activities</vt:lpstr>
      <vt:lpstr>FundRaising</vt:lpstr>
      <vt:lpstr>April'24 Transportation</vt:lpstr>
      <vt:lpstr>2023 Updated Budget Transportat</vt:lpstr>
      <vt:lpstr>Historic Transportation 5 Years</vt:lpstr>
      <vt:lpstr>June'20 Transportation</vt:lpstr>
      <vt:lpstr>Transportation Projections</vt:lpstr>
      <vt:lpstr>2019 Budget</vt:lpstr>
      <vt:lpstr>2017 Medicaid Revenue</vt:lpstr>
      <vt:lpstr>Budget</vt:lpstr>
      <vt:lpstr>YE Historic Data</vt:lpstr>
      <vt:lpstr>'2017 Medicaid Revenue'!Print_Area</vt:lpstr>
      <vt:lpstr>'April''24 AR Aging '!Print_Area</vt:lpstr>
      <vt:lpstr>'April''24 Financial Position'!Print_Area</vt:lpstr>
      <vt:lpstr>'April''24 Revenues &amp; Expenses'!Print_Area</vt:lpstr>
      <vt:lpstr>'April''24 State of Activities'!Print_Area</vt:lpstr>
      <vt:lpstr>'April''24 Transportation'!Print_Area</vt:lpstr>
      <vt:lpstr>Budget!Print_Area</vt:lpstr>
      <vt:lpstr>'June''20 Transportation'!Print_Area</vt:lpstr>
      <vt:lpstr>Notes!Print_Area</vt:lpstr>
      <vt:lpstr>'Transportation Projections'!Print_Area</vt:lpstr>
      <vt:lpstr>'YE Historic Data'!Print_Area</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jeanette</dc:creator>
  <cp:lastModifiedBy>Lisa Thomas</cp:lastModifiedBy>
  <cp:lastPrinted>2023-11-28T18:42:13Z</cp:lastPrinted>
  <dcterms:created xsi:type="dcterms:W3CDTF">2011-11-03T17:20:29Z</dcterms:created>
  <dcterms:modified xsi:type="dcterms:W3CDTF">2024-06-07T17:55:34Z</dcterms:modified>
</cp:coreProperties>
</file>