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4.xml" ContentType="application/vnd.openxmlformats-officedocument.spreadsheetml.comments+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threadedComments/threadedComment1.xml" ContentType="application/vnd.ms-excel.threadedcomments+xml"/>
  <Override PartName="/xl/comments8.xml" ContentType="application/vnd.openxmlformats-officedocument.spreadsheetml.comments+xml"/>
  <Override PartName="/xl/comments9.xml" ContentType="application/vnd.openxmlformats-officedocument.spreadsheetml.comments+xml"/>
  <Override PartName="/xl/threadedComments/threadedComment2.xml" ContentType="application/vnd.ms-excel.threaded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U:\FOR WEBSITE\"/>
    </mc:Choice>
  </mc:AlternateContent>
  <xr:revisionPtr revIDLastSave="0" documentId="8_{B3F1ADB8-4065-448F-98BA-DF4744C06D4B}" xr6:coauthVersionLast="47" xr6:coauthVersionMax="47" xr10:uidLastSave="{00000000-0000-0000-0000-000000000000}"/>
  <bookViews>
    <workbookView xWindow="-120" yWindow="-120" windowWidth="19440" windowHeight="11160" tabRatio="787" firstSheet="4" activeTab="7" xr2:uid="{00000000-000D-0000-FFFF-FFFF00000000}"/>
  </bookViews>
  <sheets>
    <sheet name="Updated  Operating Budget" sheetId="26" state="hidden" r:id="rId1"/>
    <sheet name="2023 Operating Budget" sheetId="27" state="hidden" r:id="rId2"/>
    <sheet name="Transportation Historic" sheetId="28" state="hidden" r:id="rId3"/>
    <sheet name="2024 Operating Budget" sheetId="32" state="hidden" r:id="rId4"/>
    <sheet name="Notes" sheetId="15" r:id="rId5"/>
    <sheet name="Data" sheetId="19" state="hidden" r:id="rId6"/>
    <sheet name="Updated Operating Budget" sheetId="25" state="hidden" r:id="rId7"/>
    <sheet name="February'25 Revenues &amp; Expenses" sheetId="3" r:id="rId8"/>
    <sheet name="February'25 AR Aging" sheetId="34" r:id="rId9"/>
    <sheet name="December'24 AR Aging " sheetId="6" state="hidden" r:id="rId10"/>
    <sheet name="February'25 Financial Position" sheetId="5" r:id="rId11"/>
    <sheet name="February'25 State of Activities" sheetId="12" r:id="rId12"/>
    <sheet name="FundRaising" sheetId="31" state="hidden" r:id="rId13"/>
    <sheet name="February'25 Transportation" sheetId="24" r:id="rId14"/>
    <sheet name="Budget vs Actual 2024" sheetId="36" r:id="rId15"/>
    <sheet name="2025 Transportation Budget" sheetId="33" state="hidden" r:id="rId16"/>
    <sheet name="2023 Updated Budget Transportat" sheetId="30" state="hidden" r:id="rId17"/>
    <sheet name="Historic Transportation 5 Years" sheetId="29" state="hidden" r:id="rId18"/>
    <sheet name="June'20 Transportation" sheetId="18" state="hidden" r:id="rId19"/>
    <sheet name="Transportation Projections" sheetId="23" state="hidden" r:id="rId20"/>
    <sheet name="2019 Budget" sheetId="22" state="hidden" r:id="rId21"/>
    <sheet name="2017 Medicaid Revenue" sheetId="21" state="hidden" r:id="rId22"/>
    <sheet name="Budget" sheetId="20" state="hidden" r:id="rId23"/>
    <sheet name="YE Historic Data" sheetId="17" state="hidden" r:id="rId24"/>
  </sheets>
  <externalReferences>
    <externalReference r:id="rId25"/>
    <externalReference r:id="rId26"/>
    <externalReference r:id="rId27"/>
  </externalReferences>
  <definedNames>
    <definedName name="_xlnm.Print_Area" localSheetId="21">'2017 Medicaid Revenue'!$A$1:$H$69</definedName>
    <definedName name="_xlnm.Print_Area" localSheetId="15">'2025 Transportation Budget'!$A$1:$P$72</definedName>
    <definedName name="_xlnm.Print_Area" localSheetId="22">Budget!$A$1:$G$54</definedName>
    <definedName name="_xlnm.Print_Area" localSheetId="14">'Budget vs Actual 2024'!$A$1:$Q$57</definedName>
    <definedName name="_xlnm.Print_Area" localSheetId="9">'December''24 AR Aging '!$B$1:$H$156</definedName>
    <definedName name="_xlnm.Print_Area" localSheetId="10">'February''25 Financial Position'!$A$1:$L$70</definedName>
    <definedName name="_xlnm.Print_Area" localSheetId="7">'February''25 Revenues &amp; Expenses'!$B$1:$M$66</definedName>
    <definedName name="_xlnm.Print_Area" localSheetId="11">'February''25 State of Activities'!$A$1:$O$71</definedName>
    <definedName name="_xlnm.Print_Area" localSheetId="13">'February''25 Transportation'!$A$1:$R$71</definedName>
    <definedName name="_xlnm.Print_Area" localSheetId="18">'June''20 Transportation'!$A$1:$P$63</definedName>
    <definedName name="_xlnm.Print_Area" localSheetId="4">Notes!$A$1:$H$113</definedName>
    <definedName name="_xlnm.Print_Area" localSheetId="19">'Transportation Projections'!$A$1:$P$53</definedName>
    <definedName name="_xlnm.Print_Area" localSheetId="23">'YE Historic Data'!$A$1:$W$41</definedName>
    <definedName name="_xlnm.Print_Titles" localSheetId="4">Notes!$1:$3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3" l="1"/>
  <c r="H12" i="3"/>
  <c r="U9" i="33" l="1"/>
  <c r="O71" i="24"/>
  <c r="K71" i="24"/>
  <c r="I27" i="36" l="1"/>
  <c r="O27" i="36" s="1"/>
  <c r="N27" i="36"/>
  <c r="O55" i="36"/>
  <c r="N55" i="36"/>
  <c r="N54" i="36"/>
  <c r="N53" i="36"/>
  <c r="N52" i="36"/>
  <c r="N51" i="36"/>
  <c r="N50" i="36"/>
  <c r="N49" i="36"/>
  <c r="N48" i="36"/>
  <c r="N47" i="36"/>
  <c r="N46" i="36"/>
  <c r="N45" i="36"/>
  <c r="N44" i="36"/>
  <c r="N43" i="36"/>
  <c r="N42" i="36"/>
  <c r="N41" i="36"/>
  <c r="N40" i="36"/>
  <c r="N39" i="36"/>
  <c r="N38" i="36"/>
  <c r="N37" i="36"/>
  <c r="N36" i="36"/>
  <c r="N35" i="36"/>
  <c r="N34" i="36"/>
  <c r="N33" i="36"/>
  <c r="O34" i="36"/>
  <c r="O33" i="36"/>
  <c r="O32" i="36"/>
  <c r="N32" i="36"/>
  <c r="N26" i="36"/>
  <c r="N25" i="36"/>
  <c r="N24" i="36"/>
  <c r="N23" i="36"/>
  <c r="N22" i="36"/>
  <c r="N21" i="36"/>
  <c r="N20" i="36"/>
  <c r="N19" i="36"/>
  <c r="N18" i="36"/>
  <c r="N17" i="36"/>
  <c r="N16" i="36"/>
  <c r="N15" i="36"/>
  <c r="N14" i="36"/>
  <c r="N13" i="36"/>
  <c r="N12" i="36"/>
  <c r="N11" i="36"/>
  <c r="N10" i="36"/>
  <c r="O54" i="36"/>
  <c r="O53" i="36"/>
  <c r="O52" i="36"/>
  <c r="O51" i="36"/>
  <c r="O50" i="36"/>
  <c r="O49" i="36"/>
  <c r="O48" i="36"/>
  <c r="O47" i="36"/>
  <c r="O46" i="36"/>
  <c r="O45" i="36"/>
  <c r="O44" i="36"/>
  <c r="O43" i="36"/>
  <c r="O42" i="36"/>
  <c r="O41" i="36"/>
  <c r="O40" i="36"/>
  <c r="O39" i="36"/>
  <c r="O38" i="36"/>
  <c r="O37" i="36"/>
  <c r="O36" i="36"/>
  <c r="O35" i="36"/>
  <c r="O28" i="36"/>
  <c r="O26" i="36"/>
  <c r="O25" i="36"/>
  <c r="O24" i="36"/>
  <c r="O23" i="36"/>
  <c r="O22" i="36"/>
  <c r="O21" i="36"/>
  <c r="O20" i="36"/>
  <c r="O19" i="36"/>
  <c r="O17" i="36"/>
  <c r="O16" i="36"/>
  <c r="O15" i="36"/>
  <c r="O14" i="36"/>
  <c r="O11" i="36"/>
  <c r="O10" i="36"/>
  <c r="O9" i="36"/>
  <c r="N9" i="36"/>
  <c r="N28" i="36"/>
  <c r="I36" i="36"/>
  <c r="H36" i="12"/>
  <c r="H64" i="12"/>
  <c r="H47" i="36"/>
  <c r="H55" i="36" s="1"/>
  <c r="H29" i="36"/>
  <c r="L53" i="12"/>
  <c r="M53" i="12"/>
  <c r="G29" i="36"/>
  <c r="G57" i="36" s="1"/>
  <c r="M53" i="36"/>
  <c r="M52" i="36"/>
  <c r="M51" i="36"/>
  <c r="M50" i="36"/>
  <c r="M49" i="36"/>
  <c r="M48" i="36"/>
  <c r="L47" i="36"/>
  <c r="I47" i="36"/>
  <c r="G47" i="36"/>
  <c r="G55" i="36" s="1"/>
  <c r="M46" i="36"/>
  <c r="K46" i="36"/>
  <c r="I46" i="36"/>
  <c r="M45" i="36"/>
  <c r="M44" i="36"/>
  <c r="M43" i="36"/>
  <c r="M42" i="36"/>
  <c r="M41" i="36"/>
  <c r="L40" i="36"/>
  <c r="M40" i="36" s="1"/>
  <c r="K40" i="36"/>
  <c r="I40" i="36"/>
  <c r="M39" i="36"/>
  <c r="M38" i="36"/>
  <c r="M54" i="36"/>
  <c r="M37" i="36"/>
  <c r="L36" i="36"/>
  <c r="M36" i="36" s="1"/>
  <c r="M35" i="36"/>
  <c r="L34" i="36"/>
  <c r="K34" i="36"/>
  <c r="I34" i="36"/>
  <c r="M33" i="36"/>
  <c r="M32" i="36"/>
  <c r="L29" i="36"/>
  <c r="M28" i="36"/>
  <c r="K28" i="36"/>
  <c r="K47" i="36" s="1"/>
  <c r="M24" i="36"/>
  <c r="M23" i="36"/>
  <c r="M22" i="36"/>
  <c r="M20" i="36"/>
  <c r="M19" i="36"/>
  <c r="M17" i="36"/>
  <c r="M16" i="36"/>
  <c r="K15" i="36"/>
  <c r="M14" i="36"/>
  <c r="M12" i="36"/>
  <c r="K11" i="36"/>
  <c r="M10" i="36"/>
  <c r="M9" i="36"/>
  <c r="K8" i="36"/>
  <c r="I29" i="36" l="1"/>
  <c r="H57" i="36"/>
  <c r="I55" i="36"/>
  <c r="I57" i="36" s="1"/>
  <c r="K29" i="36"/>
  <c r="L57" i="36"/>
  <c r="M21" i="36"/>
  <c r="M15" i="36"/>
  <c r="M11" i="36"/>
  <c r="M18" i="36"/>
  <c r="M47" i="36"/>
  <c r="M34" i="36"/>
  <c r="R59" i="24"/>
  <c r="Q59" i="24"/>
  <c r="R58" i="24"/>
  <c r="Q58" i="24"/>
  <c r="R54" i="24"/>
  <c r="Q54" i="24"/>
  <c r="R53" i="24"/>
  <c r="Q53" i="24"/>
  <c r="R52" i="24"/>
  <c r="Q52" i="24"/>
  <c r="R51" i="24"/>
  <c r="Q51" i="24"/>
  <c r="R50" i="24"/>
  <c r="Q50" i="24"/>
  <c r="R49" i="24"/>
  <c r="Q49" i="24"/>
  <c r="R47" i="24"/>
  <c r="Q47" i="24"/>
  <c r="R46" i="24"/>
  <c r="Q46" i="24"/>
  <c r="R45" i="24"/>
  <c r="Q45" i="24"/>
  <c r="R44" i="24"/>
  <c r="Q44" i="24"/>
  <c r="R43" i="24"/>
  <c r="Q43" i="24"/>
  <c r="R42" i="24"/>
  <c r="Q42" i="24"/>
  <c r="R41" i="24"/>
  <c r="Q41" i="24"/>
  <c r="R40" i="24"/>
  <c r="Q40" i="24"/>
  <c r="R39" i="24"/>
  <c r="Q39" i="24"/>
  <c r="R38" i="24"/>
  <c r="Q38" i="24"/>
  <c r="R37" i="24"/>
  <c r="Q37" i="24"/>
  <c r="R36" i="24"/>
  <c r="Q36" i="24"/>
  <c r="R35" i="24"/>
  <c r="Q35" i="24"/>
  <c r="R34" i="24"/>
  <c r="Q34" i="24"/>
  <c r="R29" i="24"/>
  <c r="Q29" i="24"/>
  <c r="Q23" i="24"/>
  <c r="R20" i="24"/>
  <c r="Q20" i="24"/>
  <c r="Q19" i="24"/>
  <c r="R18" i="24"/>
  <c r="Q18" i="24"/>
  <c r="Q16" i="24"/>
  <c r="Q11" i="24"/>
  <c r="R10" i="24"/>
  <c r="Q10" i="24"/>
  <c r="M38" i="12"/>
  <c r="R22" i="12"/>
  <c r="I8" i="3"/>
  <c r="D34" i="34"/>
  <c r="M52" i="12"/>
  <c r="L52" i="12"/>
  <c r="M51" i="12"/>
  <c r="L51" i="12"/>
  <c r="M50" i="12"/>
  <c r="L50" i="12"/>
  <c r="M49" i="12"/>
  <c r="L49" i="12"/>
  <c r="M48" i="12"/>
  <c r="L48" i="12"/>
  <c r="M46" i="12"/>
  <c r="L46" i="12"/>
  <c r="L45" i="12"/>
  <c r="M44" i="12"/>
  <c r="L44" i="12"/>
  <c r="M43" i="12"/>
  <c r="L43" i="12"/>
  <c r="M42" i="12"/>
  <c r="L42" i="12"/>
  <c r="M41" i="12"/>
  <c r="L41" i="12"/>
  <c r="M39" i="12"/>
  <c r="L39" i="12"/>
  <c r="L38" i="12"/>
  <c r="M54" i="12"/>
  <c r="L54" i="12"/>
  <c r="M37" i="12"/>
  <c r="L37" i="12"/>
  <c r="M35" i="12"/>
  <c r="L35" i="12"/>
  <c r="M33" i="12"/>
  <c r="L33" i="12"/>
  <c r="M32" i="12"/>
  <c r="L32" i="12"/>
  <c r="M28" i="12"/>
  <c r="L28" i="12"/>
  <c r="M26" i="12"/>
  <c r="L26" i="12"/>
  <c r="M25" i="12"/>
  <c r="L25" i="12"/>
  <c r="M24" i="12"/>
  <c r="L24" i="12"/>
  <c r="M23" i="12"/>
  <c r="L23" i="12"/>
  <c r="M21" i="12"/>
  <c r="L21" i="12"/>
  <c r="M20" i="12"/>
  <c r="L20" i="12"/>
  <c r="L17" i="12"/>
  <c r="M15" i="12"/>
  <c r="L15" i="12"/>
  <c r="L13" i="12"/>
  <c r="M10" i="12"/>
  <c r="L10" i="12"/>
  <c r="M9" i="12"/>
  <c r="L9" i="12"/>
  <c r="O9" i="12" s="1"/>
  <c r="G64" i="12"/>
  <c r="G111" i="15"/>
  <c r="F100" i="15"/>
  <c r="F91" i="15"/>
  <c r="F90" i="15"/>
  <c r="G90" i="15" s="1"/>
  <c r="E107" i="15"/>
  <c r="H62" i="5"/>
  <c r="O57" i="36" l="1"/>
  <c r="N57" i="36"/>
  <c r="O29" i="36"/>
  <c r="N29" i="36"/>
  <c r="K57" i="36"/>
  <c r="M29" i="36"/>
  <c r="D100" i="15"/>
  <c r="G100" i="15" s="1"/>
  <c r="I42" i="3"/>
  <c r="F98" i="15" s="1"/>
  <c r="H42" i="3"/>
  <c r="D98" i="15" s="1"/>
  <c r="G98" i="15" l="1"/>
  <c r="D91" i="15"/>
  <c r="G91" i="15" s="1"/>
  <c r="J632" i="19"/>
  <c r="J631" i="19"/>
  <c r="F635" i="19"/>
  <c r="F634" i="19"/>
  <c r="B2523" i="19"/>
  <c r="B2524" i="19"/>
  <c r="B2525" i="19"/>
  <c r="B2526" i="19"/>
  <c r="B2527" i="19"/>
  <c r="B2528" i="19"/>
  <c r="B2529" i="19"/>
  <c r="B2530" i="19"/>
  <c r="B2531" i="19"/>
  <c r="B2532" i="19"/>
  <c r="B2533" i="19"/>
  <c r="B2534" i="19"/>
  <c r="B2535" i="19"/>
  <c r="B2536" i="19"/>
  <c r="B2537" i="19"/>
  <c r="B2538" i="19"/>
  <c r="B2539" i="19"/>
  <c r="B2540" i="19"/>
  <c r="B2541" i="19"/>
  <c r="B2542" i="19"/>
  <c r="B2543" i="19"/>
  <c r="B2544" i="19"/>
  <c r="B2545" i="19"/>
  <c r="B2546" i="19"/>
  <c r="B2547" i="19"/>
  <c r="B2548" i="19"/>
  <c r="B2549" i="19"/>
  <c r="B2550" i="19"/>
  <c r="B2551" i="19"/>
  <c r="B2552" i="19"/>
  <c r="B2553" i="19"/>
  <c r="B2554" i="19"/>
  <c r="B2555" i="19"/>
  <c r="B2556" i="19"/>
  <c r="B2557" i="19"/>
  <c r="B2558" i="19"/>
  <c r="B2559" i="19"/>
  <c r="B2560" i="19"/>
  <c r="B2561" i="19"/>
  <c r="B2562" i="19"/>
  <c r="B2563" i="19"/>
  <c r="B2564" i="19"/>
  <c r="B2565" i="19"/>
  <c r="B2566" i="19"/>
  <c r="B2567" i="19"/>
  <c r="B2568" i="19"/>
  <c r="B2569" i="19"/>
  <c r="B2570" i="19"/>
  <c r="B2571" i="19"/>
  <c r="B2572" i="19"/>
  <c r="B2573" i="19"/>
  <c r="B2574" i="19"/>
  <c r="B2575" i="19"/>
  <c r="B2576" i="19"/>
  <c r="B2577" i="19"/>
  <c r="B2578" i="19"/>
  <c r="B2579" i="19"/>
  <c r="B2580" i="19"/>
  <c r="B2581" i="19"/>
  <c r="B2582" i="19"/>
  <c r="B2583" i="19"/>
  <c r="B2584" i="19"/>
  <c r="B2585" i="19"/>
  <c r="B2586" i="19"/>
  <c r="B2587" i="19"/>
  <c r="B2588" i="19"/>
  <c r="B2589" i="19"/>
  <c r="B2590" i="19"/>
  <c r="B2591" i="19"/>
  <c r="B2592" i="19"/>
  <c r="B2593" i="19"/>
  <c r="B2594" i="19"/>
  <c r="B2595" i="19"/>
  <c r="B2596" i="19"/>
  <c r="B2597" i="19"/>
  <c r="B2598" i="19"/>
  <c r="B2599" i="19"/>
  <c r="B2600" i="19"/>
  <c r="B2601" i="19"/>
  <c r="B2602" i="19"/>
  <c r="B2603" i="19"/>
  <c r="B2604" i="19"/>
  <c r="B2605" i="19"/>
  <c r="B2606" i="19"/>
  <c r="B2607" i="19"/>
  <c r="B2608" i="19"/>
  <c r="B2609" i="19"/>
  <c r="B2610" i="19"/>
  <c r="B2611" i="19"/>
  <c r="B2612" i="19"/>
  <c r="B2613" i="19"/>
  <c r="B2614" i="19"/>
  <c r="B2615" i="19"/>
  <c r="B2616" i="19"/>
  <c r="B2617" i="19"/>
  <c r="B2618" i="19"/>
  <c r="B2619" i="19"/>
  <c r="B2620" i="19"/>
  <c r="B2621" i="19"/>
  <c r="B2622" i="19"/>
  <c r="B2623" i="19"/>
  <c r="B2624" i="19"/>
  <c r="B2625" i="19"/>
  <c r="B2626" i="19"/>
  <c r="B2627" i="19"/>
  <c r="B2628" i="19"/>
  <c r="B2629" i="19"/>
  <c r="B2630" i="19"/>
  <c r="B2631" i="19"/>
  <c r="B2632" i="19"/>
  <c r="B2633" i="19"/>
  <c r="B2634" i="19"/>
  <c r="B2635" i="19"/>
  <c r="B2636" i="19"/>
  <c r="B2637" i="19"/>
  <c r="B2638" i="19"/>
  <c r="B2639" i="19"/>
  <c r="E16" i="15"/>
  <c r="E15" i="15"/>
  <c r="J68" i="24"/>
  <c r="J62" i="24" l="1"/>
  <c r="K54" i="24" l="1"/>
  <c r="K50" i="24"/>
  <c r="K51" i="24"/>
  <c r="K52" i="24"/>
  <c r="K53" i="24"/>
  <c r="E14" i="15"/>
  <c r="E13" i="15"/>
  <c r="E12" i="15"/>
  <c r="K49" i="24"/>
  <c r="K45" i="24"/>
  <c r="K46" i="24"/>
  <c r="K35" i="24"/>
  <c r="J39" i="24"/>
  <c r="J42" i="24"/>
  <c r="J58" i="24"/>
  <c r="J44" i="24"/>
  <c r="J28" i="24"/>
  <c r="J22" i="24"/>
  <c r="Q22" i="24" s="1"/>
  <c r="J21" i="24"/>
  <c r="J17" i="24"/>
  <c r="J13" i="24"/>
  <c r="O59" i="24"/>
  <c r="O48" i="24"/>
  <c r="O69" i="24"/>
  <c r="K36" i="12"/>
  <c r="K47" i="12"/>
  <c r="K40" i="12"/>
  <c r="K34" i="12"/>
  <c r="K65" i="12"/>
  <c r="K64" i="12"/>
  <c r="K63" i="12"/>
  <c r="K27" i="12"/>
  <c r="K29" i="12" s="1"/>
  <c r="Q29" i="12" s="1"/>
  <c r="H34" i="12"/>
  <c r="H40" i="12"/>
  <c r="H47" i="12"/>
  <c r="H46" i="12"/>
  <c r="G62" i="12"/>
  <c r="G61" i="12"/>
  <c r="G22" i="12"/>
  <c r="G34" i="12"/>
  <c r="G47" i="12"/>
  <c r="G40" i="12"/>
  <c r="G19" i="12"/>
  <c r="G16" i="12"/>
  <c r="G12" i="12"/>
  <c r="K53" i="3"/>
  <c r="F107" i="15" s="1"/>
  <c r="G107" i="15" s="1"/>
  <c r="R13" i="24" l="1"/>
  <c r="Q13" i="24"/>
  <c r="Q17" i="24"/>
  <c r="R17" i="24"/>
  <c r="R21" i="24"/>
  <c r="Q21" i="24"/>
  <c r="Q28" i="24"/>
  <c r="R28" i="24"/>
  <c r="H55" i="12"/>
  <c r="L61" i="12"/>
  <c r="M61" i="12"/>
  <c r="K66" i="12"/>
  <c r="L63" i="12"/>
  <c r="M63" i="12"/>
  <c r="M64" i="12"/>
  <c r="L64" i="12"/>
  <c r="L22" i="12"/>
  <c r="M22" i="12"/>
  <c r="M62" i="12"/>
  <c r="L62" i="12"/>
  <c r="L19" i="12"/>
  <c r="M19" i="12"/>
  <c r="M40" i="12"/>
  <c r="L40" i="12"/>
  <c r="M47" i="12"/>
  <c r="L47" i="12"/>
  <c r="L12" i="12"/>
  <c r="M12" i="12"/>
  <c r="M16" i="12"/>
  <c r="L16" i="12"/>
  <c r="L34" i="12"/>
  <c r="M34" i="12"/>
  <c r="M36" i="12"/>
  <c r="L36" i="12"/>
  <c r="O55" i="24"/>
  <c r="O27" i="24"/>
  <c r="K55" i="12"/>
  <c r="J63" i="5"/>
  <c r="J62" i="5"/>
  <c r="P57" i="5"/>
  <c r="O57" i="5"/>
  <c r="P50" i="5"/>
  <c r="J54" i="3"/>
  <c r="J53" i="3"/>
  <c r="L53" i="3" s="1"/>
  <c r="M53" i="3" s="1"/>
  <c r="K52" i="3"/>
  <c r="K50" i="3"/>
  <c r="J50" i="3"/>
  <c r="J34" i="3"/>
  <c r="O63" i="24" l="1"/>
  <c r="O30" i="24"/>
  <c r="O56" i="24" s="1"/>
  <c r="O60" i="24" s="1"/>
  <c r="S27" i="24"/>
  <c r="O66" i="24"/>
  <c r="K57" i="12"/>
  <c r="K68" i="12" s="1"/>
  <c r="K71" i="12" s="1"/>
  <c r="J65" i="5"/>
  <c r="I37" i="3" l="1"/>
  <c r="F94" i="15" s="1"/>
  <c r="G94" i="15" s="1"/>
  <c r="H33" i="3"/>
  <c r="J33" i="3" s="1"/>
  <c r="L33" i="3" s="1"/>
  <c r="H30" i="3"/>
  <c r="L64" i="5" l="1"/>
  <c r="L63" i="5"/>
  <c r="O62" i="5"/>
  <c r="L62" i="5"/>
  <c r="P56" i="5"/>
  <c r="O56" i="5"/>
  <c r="P55" i="5"/>
  <c r="O55" i="5"/>
  <c r="P54" i="5"/>
  <c r="O54" i="5"/>
  <c r="O53" i="5"/>
  <c r="J53" i="5"/>
  <c r="P53" i="5" s="1"/>
  <c r="H53" i="5"/>
  <c r="P48" i="5"/>
  <c r="P47" i="5"/>
  <c r="L47" i="5"/>
  <c r="H47" i="5"/>
  <c r="O47" i="5" s="1"/>
  <c r="O46" i="5"/>
  <c r="J46" i="5"/>
  <c r="P46" i="5" s="1"/>
  <c r="H46" i="5"/>
  <c r="P45" i="5"/>
  <c r="P44" i="5"/>
  <c r="O44" i="5"/>
  <c r="P43" i="5"/>
  <c r="O43" i="5"/>
  <c r="O50" i="5" s="1"/>
  <c r="O59" i="5" s="1"/>
  <c r="O61" i="5" s="1"/>
  <c r="J13" i="3" l="1"/>
  <c r="I16" i="3"/>
  <c r="I15" i="3"/>
  <c r="I14" i="3"/>
  <c r="I13" i="3"/>
  <c r="H13" i="3" l="1"/>
  <c r="J9" i="3" l="1"/>
  <c r="G8" i="3" l="1"/>
  <c r="K8" i="3" s="1"/>
  <c r="H199" i="34"/>
  <c r="E197" i="34"/>
  <c r="E196" i="34"/>
  <c r="G195" i="34"/>
  <c r="G199" i="34" s="1"/>
  <c r="E195" i="34"/>
  <c r="E199" i="34" s="1"/>
  <c r="D121" i="34"/>
  <c r="D62" i="34"/>
  <c r="H50" i="34"/>
  <c r="H49" i="34"/>
  <c r="H48" i="34"/>
  <c r="G46" i="34"/>
  <c r="F46" i="34"/>
  <c r="E46" i="34"/>
  <c r="D46" i="34"/>
  <c r="H45" i="34"/>
  <c r="H44" i="34"/>
  <c r="I10" i="3" s="1"/>
  <c r="H43" i="34"/>
  <c r="H42" i="34"/>
  <c r="H41" i="34"/>
  <c r="H40" i="34"/>
  <c r="H39" i="34"/>
  <c r="H38" i="34"/>
  <c r="G35" i="34"/>
  <c r="G52" i="34" s="1"/>
  <c r="F35" i="34"/>
  <c r="F52" i="34" s="1"/>
  <c r="E35" i="34"/>
  <c r="D35" i="34"/>
  <c r="F34" i="34"/>
  <c r="H34" i="34" s="1"/>
  <c r="I11" i="3" s="1"/>
  <c r="H33" i="34"/>
  <c r="F33" i="34"/>
  <c r="F30" i="34"/>
  <c r="E30" i="34"/>
  <c r="D30" i="34"/>
  <c r="H29" i="34"/>
  <c r="H30" i="34" s="1"/>
  <c r="H26" i="34"/>
  <c r="H24" i="34"/>
  <c r="H23" i="34"/>
  <c r="H21" i="34"/>
  <c r="G19" i="34"/>
  <c r="F19" i="34"/>
  <c r="E19" i="34"/>
  <c r="D19" i="34"/>
  <c r="H18" i="34"/>
  <c r="H19" i="34" s="1"/>
  <c r="H17" i="34"/>
  <c r="H16" i="34"/>
  <c r="H13" i="34"/>
  <c r="H12" i="34"/>
  <c r="H11" i="34"/>
  <c r="D9" i="34"/>
  <c r="H8" i="34"/>
  <c r="H7" i="34"/>
  <c r="H9" i="34" s="1"/>
  <c r="I7" i="3" l="1"/>
  <c r="D52" i="34"/>
  <c r="D195" i="34" s="1"/>
  <c r="I9" i="3"/>
  <c r="E52" i="34"/>
  <c r="H46" i="34"/>
  <c r="H52" i="34"/>
  <c r="D197" i="34"/>
  <c r="D198" i="34"/>
  <c r="D196" i="34"/>
  <c r="H35" i="34"/>
  <c r="E11" i="15" s="1"/>
  <c r="U72" i="33"/>
  <c r="J72" i="33"/>
  <c r="T60" i="33"/>
  <c r="U60" i="33"/>
  <c r="M60" i="33"/>
  <c r="T59" i="33"/>
  <c r="U59" i="33"/>
  <c r="J59" i="33"/>
  <c r="T55" i="33"/>
  <c r="M55" i="33"/>
  <c r="K55" i="33"/>
  <c r="J55" i="33"/>
  <c r="T54" i="33"/>
  <c r="T53" i="33"/>
  <c r="U53" i="33"/>
  <c r="J53" i="33"/>
  <c r="O53" i="33" s="1"/>
  <c r="T52" i="33"/>
  <c r="P52" i="33"/>
  <c r="O52" i="33"/>
  <c r="T51" i="33"/>
  <c r="J51" i="33"/>
  <c r="O51" i="33" s="1"/>
  <c r="T50" i="33"/>
  <c r="U50" i="33"/>
  <c r="P50" i="33"/>
  <c r="O50" i="33"/>
  <c r="T49" i="33"/>
  <c r="K49" i="33"/>
  <c r="J49" i="33"/>
  <c r="T48" i="33"/>
  <c r="J48" i="33"/>
  <c r="O48" i="33" s="1"/>
  <c r="T47" i="33"/>
  <c r="P47" i="33"/>
  <c r="O47" i="33"/>
  <c r="T46" i="33"/>
  <c r="M46" i="33"/>
  <c r="K46" i="33"/>
  <c r="P46" i="33" s="1"/>
  <c r="T45" i="33"/>
  <c r="U45" i="33"/>
  <c r="P45" i="33"/>
  <c r="O45" i="33"/>
  <c r="T44" i="33"/>
  <c r="U44" i="33"/>
  <c r="P44" i="33"/>
  <c r="O44" i="33"/>
  <c r="T43" i="33"/>
  <c r="T42" i="33"/>
  <c r="K42" i="33"/>
  <c r="K60" i="33" s="1"/>
  <c r="J42" i="33"/>
  <c r="U41" i="33"/>
  <c r="P41" i="33"/>
  <c r="O41" i="33"/>
  <c r="U40" i="33"/>
  <c r="P40" i="33"/>
  <c r="O40" i="33"/>
  <c r="P39" i="33"/>
  <c r="O39" i="33"/>
  <c r="U38" i="33"/>
  <c r="P38" i="33"/>
  <c r="O38" i="33"/>
  <c r="T37" i="33"/>
  <c r="O37" i="33"/>
  <c r="P36" i="33"/>
  <c r="O36" i="33"/>
  <c r="M35" i="33"/>
  <c r="M36" i="33" s="1"/>
  <c r="K35" i="33"/>
  <c r="J35" i="33"/>
  <c r="U34" i="33"/>
  <c r="P34" i="33"/>
  <c r="O34" i="33"/>
  <c r="T33" i="33"/>
  <c r="T29" i="33"/>
  <c r="P29" i="33"/>
  <c r="O29" i="33"/>
  <c r="T28" i="33"/>
  <c r="J28" i="33"/>
  <c r="T26" i="33"/>
  <c r="K26" i="33"/>
  <c r="K43" i="33" s="1"/>
  <c r="J26" i="33"/>
  <c r="T25" i="33"/>
  <c r="O25" i="33"/>
  <c r="T24" i="33"/>
  <c r="P24" i="33"/>
  <c r="O24" i="33"/>
  <c r="T23" i="33"/>
  <c r="P23" i="33"/>
  <c r="O23" i="33"/>
  <c r="T22" i="33"/>
  <c r="T21" i="33"/>
  <c r="J21" i="33"/>
  <c r="T20" i="33"/>
  <c r="J20" i="33"/>
  <c r="T19" i="33"/>
  <c r="P19" i="33"/>
  <c r="O19" i="33"/>
  <c r="T18" i="33"/>
  <c r="U18" i="33"/>
  <c r="P18" i="33"/>
  <c r="O18" i="33"/>
  <c r="T17" i="33"/>
  <c r="J17" i="33"/>
  <c r="P17" i="33" s="1"/>
  <c r="T16" i="33"/>
  <c r="J16" i="33"/>
  <c r="T15" i="33"/>
  <c r="J14" i="33"/>
  <c r="J13" i="33"/>
  <c r="T12" i="33"/>
  <c r="T11" i="33"/>
  <c r="U11" i="33"/>
  <c r="P11" i="33"/>
  <c r="O11" i="33"/>
  <c r="T10" i="33"/>
  <c r="J10" i="33"/>
  <c r="T9" i="33"/>
  <c r="M9" i="33"/>
  <c r="M70" i="33" s="1"/>
  <c r="K9" i="33"/>
  <c r="J9" i="33"/>
  <c r="A3" i="33"/>
  <c r="U18" i="24"/>
  <c r="D199" i="34" l="1"/>
  <c r="F54" i="34"/>
  <c r="H20" i="5"/>
  <c r="E54" i="34"/>
  <c r="G54" i="34"/>
  <c r="D54" i="34"/>
  <c r="H54" i="34"/>
  <c r="D64" i="34"/>
  <c r="P53" i="33"/>
  <c r="U55" i="33"/>
  <c r="O59" i="33"/>
  <c r="J43" i="33"/>
  <c r="O43" i="33" s="1"/>
  <c r="K27" i="33"/>
  <c r="K30" i="33" s="1"/>
  <c r="O26" i="33"/>
  <c r="P26" i="33"/>
  <c r="U26" i="33"/>
  <c r="O14" i="33"/>
  <c r="O21" i="33"/>
  <c r="P14" i="33"/>
  <c r="O55" i="33"/>
  <c r="P55" i="33"/>
  <c r="O17" i="33"/>
  <c r="P48" i="33"/>
  <c r="O49" i="33"/>
  <c r="P51" i="33"/>
  <c r="P13" i="33"/>
  <c r="O16" i="33"/>
  <c r="P28" i="33"/>
  <c r="U48" i="33"/>
  <c r="P49" i="33"/>
  <c r="U51" i="33"/>
  <c r="M28" i="33"/>
  <c r="O13" i="33"/>
  <c r="O10" i="33"/>
  <c r="P20" i="33"/>
  <c r="O9" i="33"/>
  <c r="P10" i="33"/>
  <c r="P16" i="33"/>
  <c r="U28" i="33"/>
  <c r="O35" i="33"/>
  <c r="U36" i="33"/>
  <c r="O42" i="33"/>
  <c r="O46" i="33"/>
  <c r="U49" i="33"/>
  <c r="J70" i="33"/>
  <c r="J60" i="33"/>
  <c r="K70" i="33"/>
  <c r="O20" i="33"/>
  <c r="P9" i="33"/>
  <c r="P35" i="33"/>
  <c r="P42" i="33"/>
  <c r="P43" i="33"/>
  <c r="U34" i="24"/>
  <c r="U36" i="24" s="1"/>
  <c r="J56" i="33" l="1"/>
  <c r="J64" i="33" s="1"/>
  <c r="U43" i="33"/>
  <c r="U70" i="33"/>
  <c r="O60" i="33"/>
  <c r="P60" i="33"/>
  <c r="O28" i="33"/>
  <c r="U71" i="24"/>
  <c r="U59" i="24"/>
  <c r="U58" i="24"/>
  <c r="U49" i="24"/>
  <c r="U43" i="24"/>
  <c r="U42" i="24"/>
  <c r="U41" i="24"/>
  <c r="U40" i="24"/>
  <c r="U38" i="24"/>
  <c r="U11" i="24"/>
  <c r="J67" i="33" l="1"/>
  <c r="X36" i="24"/>
  <c r="X38" i="24"/>
  <c r="X39" i="24"/>
  <c r="X40" i="24"/>
  <c r="X41" i="24"/>
  <c r="V10" i="24"/>
  <c r="V11" i="24"/>
  <c r="V12" i="24"/>
  <c r="V15" i="24"/>
  <c r="V16" i="24"/>
  <c r="V17" i="24"/>
  <c r="V18" i="24"/>
  <c r="V19" i="24"/>
  <c r="V20" i="24"/>
  <c r="V21" i="24"/>
  <c r="V22" i="24"/>
  <c r="V23" i="24"/>
  <c r="V24" i="24"/>
  <c r="V25" i="24"/>
  <c r="V26" i="24"/>
  <c r="V28" i="24"/>
  <c r="V29" i="24"/>
  <c r="V33" i="24"/>
  <c r="V37" i="24"/>
  <c r="V44" i="24"/>
  <c r="V48" i="24"/>
  <c r="V42" i="24"/>
  <c r="V43" i="24"/>
  <c r="V45" i="24"/>
  <c r="V46" i="24"/>
  <c r="V53" i="24"/>
  <c r="V50" i="24"/>
  <c r="V49" i="24"/>
  <c r="V52" i="24"/>
  <c r="V51" i="24"/>
  <c r="V47" i="24"/>
  <c r="V54" i="24"/>
  <c r="V58" i="24"/>
  <c r="V59" i="24"/>
  <c r="V9" i="24"/>
  <c r="W71" i="24"/>
  <c r="Y68" i="24"/>
  <c r="Y65" i="24"/>
  <c r="Y62" i="24"/>
  <c r="Y25" i="24"/>
  <c r="Y31" i="24"/>
  <c r="AB37" i="24"/>
  <c r="Y57" i="24"/>
  <c r="X68" i="24"/>
  <c r="X65" i="24"/>
  <c r="X71" i="24" s="1"/>
  <c r="Y71" i="24" l="1"/>
  <c r="W69" i="24"/>
  <c r="W59" i="24"/>
  <c r="W54" i="24"/>
  <c r="W55" i="24" s="1"/>
  <c r="X47" i="24"/>
  <c r="Y47" i="24" s="1"/>
  <c r="AB47" i="24" s="1"/>
  <c r="X49" i="24"/>
  <c r="Y49" i="24" s="1"/>
  <c r="AB49" i="24" s="1"/>
  <c r="X46" i="24"/>
  <c r="Y46" i="24" s="1"/>
  <c r="AB46" i="24" s="1"/>
  <c r="X45" i="24"/>
  <c r="Y45" i="24" s="1"/>
  <c r="AB45" i="24" s="1"/>
  <c r="X43" i="24"/>
  <c r="Y43" i="24" s="1"/>
  <c r="AB43" i="24" s="1"/>
  <c r="X42" i="24"/>
  <c r="Y42" i="24" s="1"/>
  <c r="AB42" i="24" s="1"/>
  <c r="Y41" i="24"/>
  <c r="AB41" i="24" s="1"/>
  <c r="Y40" i="24"/>
  <c r="AB40" i="24" s="1"/>
  <c r="Y39" i="24"/>
  <c r="AB39" i="24" s="1"/>
  <c r="Y38" i="24"/>
  <c r="AB38" i="24" s="1"/>
  <c r="Y36" i="24"/>
  <c r="AB36" i="24" s="1"/>
  <c r="X34" i="24"/>
  <c r="Y34" i="24" s="1"/>
  <c r="AB34" i="24" s="1"/>
  <c r="X29" i="24"/>
  <c r="Y29" i="24" s="1"/>
  <c r="W27" i="24"/>
  <c r="AC27" i="24" s="1"/>
  <c r="X53" i="24" l="1"/>
  <c r="Y53" i="24" s="1"/>
  <c r="AB53" i="24" s="1"/>
  <c r="U53" i="24"/>
  <c r="W63" i="24"/>
  <c r="W66" i="24"/>
  <c r="W30" i="24"/>
  <c r="W56" i="24" s="1"/>
  <c r="AC30" i="24" l="1"/>
  <c r="W60" i="24"/>
  <c r="AC56" i="24" l="1"/>
  <c r="AC57" i="24" s="1"/>
  <c r="AC60" i="24"/>
  <c r="X11" i="24" l="1"/>
  <c r="Y11" i="24" s="1"/>
  <c r="X12" i="24"/>
  <c r="Y12" i="24" s="1"/>
  <c r="X19" i="24"/>
  <c r="Y19" i="24" s="1"/>
  <c r="X24" i="24"/>
  <c r="Y24" i="24" s="1"/>
  <c r="X33" i="24"/>
  <c r="Y33" i="24" s="1"/>
  <c r="K10" i="3" l="1"/>
  <c r="H10" i="3"/>
  <c r="J71" i="24"/>
  <c r="H65" i="12"/>
  <c r="X58" i="24"/>
  <c r="Y58" i="24" s="1"/>
  <c r="F92" i="15"/>
  <c r="J43" i="3"/>
  <c r="L43" i="3" s="1"/>
  <c r="J42" i="3" l="1"/>
  <c r="J22" i="33"/>
  <c r="O22" i="33" s="1"/>
  <c r="X22" i="24"/>
  <c r="Y22" i="24" s="1"/>
  <c r="M11" i="12"/>
  <c r="X52" i="24" l="1"/>
  <c r="Y52" i="24" s="1"/>
  <c r="AB52" i="24" s="1"/>
  <c r="U52" i="24"/>
  <c r="X51" i="24"/>
  <c r="Y51" i="24" s="1"/>
  <c r="AB51" i="24" s="1"/>
  <c r="U51" i="24"/>
  <c r="X54" i="24"/>
  <c r="Y54" i="24" s="1"/>
  <c r="AB54" i="24" s="1"/>
  <c r="L42" i="3"/>
  <c r="U22" i="33"/>
  <c r="U27" i="33" s="1"/>
  <c r="U30" i="33" s="1"/>
  <c r="U22" i="24"/>
  <c r="X16" i="24"/>
  <c r="Y16" i="24" s="1"/>
  <c r="H2104" i="19"/>
  <c r="H2522" i="19"/>
  <c r="K630" i="19"/>
  <c r="K629" i="19"/>
  <c r="B2392" i="19"/>
  <c r="B2393" i="19"/>
  <c r="B2394" i="19"/>
  <c r="B2395" i="19"/>
  <c r="B2396" i="19"/>
  <c r="B2397" i="19"/>
  <c r="B2398" i="19"/>
  <c r="B2399" i="19"/>
  <c r="B2400" i="19"/>
  <c r="B2401" i="19"/>
  <c r="B2402" i="19"/>
  <c r="B2403" i="19"/>
  <c r="B2404" i="19"/>
  <c r="B2405" i="19"/>
  <c r="B2406" i="19"/>
  <c r="B2407" i="19"/>
  <c r="B2408" i="19"/>
  <c r="B2409" i="19"/>
  <c r="B2410" i="19"/>
  <c r="B2411" i="19"/>
  <c r="B2412" i="19"/>
  <c r="B2413" i="19"/>
  <c r="B2414" i="19"/>
  <c r="B2415" i="19"/>
  <c r="B2416" i="19"/>
  <c r="B2417" i="19"/>
  <c r="B2418" i="19"/>
  <c r="B2419" i="19"/>
  <c r="B2420" i="19"/>
  <c r="B2421" i="19"/>
  <c r="B2422" i="19"/>
  <c r="B2423" i="19"/>
  <c r="B2424" i="19"/>
  <c r="B2425" i="19"/>
  <c r="B2426" i="19"/>
  <c r="B2427" i="19"/>
  <c r="B2428" i="19"/>
  <c r="B2429" i="19"/>
  <c r="B2430" i="19"/>
  <c r="B2431" i="19"/>
  <c r="B2432" i="19"/>
  <c r="B2433" i="19"/>
  <c r="B2434" i="19"/>
  <c r="B2435" i="19"/>
  <c r="B2436" i="19"/>
  <c r="B2437" i="19"/>
  <c r="B2438" i="19"/>
  <c r="B2439" i="19"/>
  <c r="B2440" i="19"/>
  <c r="B2441" i="19"/>
  <c r="B2442" i="19"/>
  <c r="B2443" i="19"/>
  <c r="B2444" i="19"/>
  <c r="B2445" i="19"/>
  <c r="B2446" i="19"/>
  <c r="B2447" i="19"/>
  <c r="B2448" i="19"/>
  <c r="B2449" i="19"/>
  <c r="B2450" i="19"/>
  <c r="B2451" i="19"/>
  <c r="B2452" i="19"/>
  <c r="B2453" i="19"/>
  <c r="B2454" i="19"/>
  <c r="B2455" i="19"/>
  <c r="B2456" i="19"/>
  <c r="B2457" i="19"/>
  <c r="B2458" i="19"/>
  <c r="B2459" i="19"/>
  <c r="B2460" i="19"/>
  <c r="B2461" i="19"/>
  <c r="B2462" i="19"/>
  <c r="B2463" i="19"/>
  <c r="B2464" i="19"/>
  <c r="B2465" i="19"/>
  <c r="B2466" i="19"/>
  <c r="B2467" i="19"/>
  <c r="B2468" i="19"/>
  <c r="B2469" i="19"/>
  <c r="B2470" i="19"/>
  <c r="B2471" i="19"/>
  <c r="B2472" i="19"/>
  <c r="B2473" i="19"/>
  <c r="B2474" i="19"/>
  <c r="B2475" i="19"/>
  <c r="B2476" i="19"/>
  <c r="B2477" i="19"/>
  <c r="B2478" i="19"/>
  <c r="B2479" i="19"/>
  <c r="B2480" i="19"/>
  <c r="B2481" i="19"/>
  <c r="B2482" i="19"/>
  <c r="B2483" i="19"/>
  <c r="B2484" i="19"/>
  <c r="B2485" i="19"/>
  <c r="B2486" i="19"/>
  <c r="B2487" i="19"/>
  <c r="B2488" i="19"/>
  <c r="B2489" i="19"/>
  <c r="B2490" i="19"/>
  <c r="B2491" i="19"/>
  <c r="B2492" i="19"/>
  <c r="B2493" i="19"/>
  <c r="B2494" i="19"/>
  <c r="B2495" i="19"/>
  <c r="B2496" i="19"/>
  <c r="B2497" i="19"/>
  <c r="B2498" i="19"/>
  <c r="B2499" i="19"/>
  <c r="B2500" i="19"/>
  <c r="B2501" i="19"/>
  <c r="B2502" i="19"/>
  <c r="B2503" i="19"/>
  <c r="B2504" i="19"/>
  <c r="B2505" i="19"/>
  <c r="B2506" i="19"/>
  <c r="B2507" i="19"/>
  <c r="B2508" i="19"/>
  <c r="B2509" i="19"/>
  <c r="B2510" i="19"/>
  <c r="B2511" i="19"/>
  <c r="B2512" i="19"/>
  <c r="B2513" i="19"/>
  <c r="B2514" i="19"/>
  <c r="B2515" i="19"/>
  <c r="B2516" i="19"/>
  <c r="B2517" i="19"/>
  <c r="B2518" i="19"/>
  <c r="B2519" i="19"/>
  <c r="B2520" i="19"/>
  <c r="B2521" i="19"/>
  <c r="B2522" i="19"/>
  <c r="Q24" i="24" l="1"/>
  <c r="X44" i="24"/>
  <c r="Y44" i="24" s="1"/>
  <c r="X50" i="24" l="1"/>
  <c r="Y50" i="24" s="1"/>
  <c r="AB50" i="24" s="1"/>
  <c r="AB44" i="24"/>
  <c r="J59" i="24"/>
  <c r="X20" i="24"/>
  <c r="Y20" i="24" s="1"/>
  <c r="X18" i="24"/>
  <c r="Y18" i="24" s="1"/>
  <c r="X28" i="24" l="1"/>
  <c r="Y28" i="24" s="1"/>
  <c r="U28" i="24"/>
  <c r="X35" i="24"/>
  <c r="X59" i="24"/>
  <c r="Y59" i="24" s="1"/>
  <c r="X10" i="24"/>
  <c r="Y10" i="24" s="1"/>
  <c r="G65" i="12"/>
  <c r="L65" i="12" l="1"/>
  <c r="M65" i="12"/>
  <c r="Y35" i="24"/>
  <c r="AB35" i="24" s="1"/>
  <c r="J37" i="3" l="1"/>
  <c r="L37" i="3" s="1"/>
  <c r="J41" i="3"/>
  <c r="L41" i="3" s="1"/>
  <c r="K16" i="3" l="1"/>
  <c r="H21" i="6" l="1"/>
  <c r="D95" i="6" l="1"/>
  <c r="G41" i="6" l="1"/>
  <c r="F41" i="6"/>
  <c r="E41" i="6"/>
  <c r="E28" i="6"/>
  <c r="F28" i="6"/>
  <c r="H27" i="6"/>
  <c r="G32" i="6"/>
  <c r="E32" i="6"/>
  <c r="H18" i="6"/>
  <c r="J65" i="12"/>
  <c r="H28" i="6" l="1"/>
  <c r="J12" i="12"/>
  <c r="H44" i="3" l="1"/>
  <c r="N636" i="19" l="1"/>
  <c r="M635" i="19"/>
  <c r="K628" i="19"/>
  <c r="K627" i="19"/>
  <c r="B2391" i="19"/>
  <c r="B2390" i="19"/>
  <c r="A2390" i="19"/>
  <c r="A2391" i="19" s="1"/>
  <c r="F2299" i="19"/>
  <c r="B2367" i="19"/>
  <c r="B2302" i="19"/>
  <c r="B2303" i="19"/>
  <c r="B2304" i="19"/>
  <c r="B2305" i="19"/>
  <c r="B2306" i="19"/>
  <c r="B2307" i="19"/>
  <c r="B2308" i="19"/>
  <c r="B2309" i="19"/>
  <c r="B2310" i="19"/>
  <c r="B2311" i="19"/>
  <c r="B2312" i="19"/>
  <c r="B2313" i="19"/>
  <c r="B2314" i="19"/>
  <c r="B2315" i="19"/>
  <c r="B2316" i="19"/>
  <c r="B2317" i="19"/>
  <c r="B2318" i="19"/>
  <c r="B2319" i="19"/>
  <c r="B2320" i="19"/>
  <c r="B2321" i="19"/>
  <c r="B2322" i="19"/>
  <c r="B2323" i="19"/>
  <c r="B2324" i="19"/>
  <c r="B2325" i="19"/>
  <c r="B2326" i="19"/>
  <c r="B2327" i="19"/>
  <c r="B2328" i="19"/>
  <c r="B2329" i="19"/>
  <c r="B2330" i="19"/>
  <c r="B2331" i="19"/>
  <c r="B2332" i="19"/>
  <c r="B2333" i="19"/>
  <c r="B2334" i="19"/>
  <c r="B2335" i="19"/>
  <c r="B2336" i="19"/>
  <c r="B2337" i="19"/>
  <c r="B2338" i="19"/>
  <c r="B2339" i="19"/>
  <c r="B2340" i="19"/>
  <c r="B2341" i="19"/>
  <c r="B2342" i="19"/>
  <c r="B2343" i="19"/>
  <c r="B2344" i="19"/>
  <c r="B2345" i="19"/>
  <c r="B2346" i="19"/>
  <c r="B2347" i="19"/>
  <c r="B2348" i="19"/>
  <c r="B2349" i="19"/>
  <c r="B2350" i="19"/>
  <c r="B2351" i="19"/>
  <c r="B2352" i="19"/>
  <c r="B2353" i="19"/>
  <c r="B2354" i="19"/>
  <c r="B2355" i="19"/>
  <c r="B2356" i="19"/>
  <c r="B2357" i="19"/>
  <c r="B2358" i="19"/>
  <c r="B2359" i="19"/>
  <c r="B2360" i="19"/>
  <c r="B2361" i="19"/>
  <c r="B2362" i="19"/>
  <c r="B2363" i="19"/>
  <c r="B2364" i="19"/>
  <c r="B2365" i="19"/>
  <c r="B2366" i="19"/>
  <c r="B2368" i="19"/>
  <c r="B2369" i="19"/>
  <c r="B2370" i="19"/>
  <c r="B2371" i="19"/>
  <c r="B2372" i="19"/>
  <c r="B2373" i="19"/>
  <c r="B2374" i="19"/>
  <c r="B2375" i="19"/>
  <c r="B2376" i="19"/>
  <c r="B2377" i="19"/>
  <c r="B2378" i="19"/>
  <c r="B2379" i="19"/>
  <c r="B2380" i="19"/>
  <c r="B2381" i="19"/>
  <c r="B2382" i="19"/>
  <c r="B2383" i="19"/>
  <c r="B2384" i="19"/>
  <c r="B2385" i="19"/>
  <c r="B2386" i="19"/>
  <c r="B2387" i="19"/>
  <c r="B2388" i="19"/>
  <c r="B2389" i="19"/>
  <c r="M54" i="24"/>
  <c r="M45" i="24"/>
  <c r="M35" i="24"/>
  <c r="M36" i="24" l="1"/>
  <c r="A3" i="24"/>
  <c r="J40" i="12"/>
  <c r="J34" i="12"/>
  <c r="G18" i="12" l="1"/>
  <c r="J30" i="3"/>
  <c r="L30" i="3" s="1"/>
  <c r="L50" i="3"/>
  <c r="E19" i="6"/>
  <c r="G48" i="6"/>
  <c r="L18" i="12" l="1"/>
  <c r="M18" i="12"/>
  <c r="J15" i="33"/>
  <c r="F32" i="6"/>
  <c r="P15" i="33" l="1"/>
  <c r="O15" i="33"/>
  <c r="J27" i="33"/>
  <c r="H2297" i="19"/>
  <c r="H2287" i="19"/>
  <c r="H2296" i="19"/>
  <c r="B2296" i="19"/>
  <c r="B2297" i="19"/>
  <c r="B2298" i="19"/>
  <c r="B2299" i="19"/>
  <c r="B2300" i="19"/>
  <c r="B2301" i="19"/>
  <c r="B2293" i="19"/>
  <c r="B2294" i="19"/>
  <c r="B2295" i="19"/>
  <c r="E2285" i="19"/>
  <c r="B2285" i="19" s="1"/>
  <c r="B2281" i="19"/>
  <c r="B2282" i="19"/>
  <c r="B2283" i="19"/>
  <c r="B2284" i="19"/>
  <c r="B2291" i="19"/>
  <c r="B2292" i="19"/>
  <c r="B2280" i="19"/>
  <c r="G64" i="15"/>
  <c r="C2239" i="19"/>
  <c r="C2237" i="19"/>
  <c r="B2237" i="19" s="1"/>
  <c r="B2238" i="19"/>
  <c r="B2236" i="19"/>
  <c r="J30" i="33" l="1"/>
  <c r="O27" i="33"/>
  <c r="P27" i="33"/>
  <c r="E2286" i="19"/>
  <c r="B2286" i="19" s="1"/>
  <c r="E2287" i="19"/>
  <c r="B2239" i="19"/>
  <c r="B2240" i="19"/>
  <c r="C2241" i="19"/>
  <c r="J57" i="33" l="1"/>
  <c r="P30" i="33"/>
  <c r="O30" i="33"/>
  <c r="B2287" i="19"/>
  <c r="E2288" i="19"/>
  <c r="B2241" i="19"/>
  <c r="L57" i="5"/>
  <c r="J61" i="33" l="1"/>
  <c r="B2288" i="19"/>
  <c r="E2289" i="19"/>
  <c r="B2242" i="19"/>
  <c r="B2289" i="19" l="1"/>
  <c r="E2290" i="19"/>
  <c r="B2290" i="19" s="1"/>
  <c r="B2243" i="19"/>
  <c r="B2244" i="19" l="1"/>
  <c r="B2245" i="19" l="1"/>
  <c r="H24" i="6"/>
  <c r="H83" i="6"/>
  <c r="H80" i="6"/>
  <c r="G19" i="6"/>
  <c r="C2222" i="19"/>
  <c r="B2221" i="19"/>
  <c r="B2220" i="19"/>
  <c r="C2198" i="19"/>
  <c r="B2246" i="19" l="1"/>
  <c r="B2247" i="19" l="1"/>
  <c r="B2194" i="19"/>
  <c r="B2248" i="19" l="1"/>
  <c r="B2195" i="19"/>
  <c r="B2249" i="19" l="1"/>
  <c r="B2196" i="19"/>
  <c r="I44" i="3"/>
  <c r="K15" i="3"/>
  <c r="H15" i="3"/>
  <c r="K54" i="33" l="1"/>
  <c r="B2250" i="19"/>
  <c r="B2197" i="19"/>
  <c r="K14" i="3"/>
  <c r="F19" i="6"/>
  <c r="F89" i="6" s="1"/>
  <c r="O54" i="33" l="1"/>
  <c r="U54" i="33"/>
  <c r="U56" i="33" s="1"/>
  <c r="P54" i="33"/>
  <c r="K56" i="33"/>
  <c r="B2251" i="19"/>
  <c r="B2198" i="19"/>
  <c r="C2152" i="19"/>
  <c r="B2151" i="19"/>
  <c r="B2150" i="19"/>
  <c r="K67" i="33" l="1"/>
  <c r="K57" i="33"/>
  <c r="K64" i="33"/>
  <c r="O56" i="33"/>
  <c r="P56" i="33"/>
  <c r="U67" i="33"/>
  <c r="U64" i="33"/>
  <c r="U57" i="33"/>
  <c r="U61" i="33" s="1"/>
  <c r="B2252" i="19"/>
  <c r="B2199" i="19"/>
  <c r="B2152" i="19"/>
  <c r="C2153" i="19"/>
  <c r="K61" i="33" l="1"/>
  <c r="O57" i="33"/>
  <c r="P57" i="33"/>
  <c r="B2253" i="19"/>
  <c r="B2200" i="19"/>
  <c r="C2201" i="19"/>
  <c r="B2153" i="19"/>
  <c r="O61" i="33" l="1"/>
  <c r="P61" i="33"/>
  <c r="B2254" i="19"/>
  <c r="C2202" i="19"/>
  <c r="B2201" i="19"/>
  <c r="B2154" i="19"/>
  <c r="C2155" i="19"/>
  <c r="B2255" i="19" l="1"/>
  <c r="B2202" i="19"/>
  <c r="C2156" i="19"/>
  <c r="B2155" i="19"/>
  <c r="B2256" i="19" l="1"/>
  <c r="B2203" i="19"/>
  <c r="B2156" i="19"/>
  <c r="B2257" i="19" l="1"/>
  <c r="B2204" i="19"/>
  <c r="B2157" i="19"/>
  <c r="B2258" i="19" l="1"/>
  <c r="B2205" i="19"/>
  <c r="B2158" i="19"/>
  <c r="B2259" i="19" l="1"/>
  <c r="B2206" i="19"/>
  <c r="B2159" i="19"/>
  <c r="B2260" i="19" l="1"/>
  <c r="B2207" i="19"/>
  <c r="B2160" i="19"/>
  <c r="B2261" i="19" l="1"/>
  <c r="C2262" i="19"/>
  <c r="B2208" i="19"/>
  <c r="C2209" i="19"/>
  <c r="B2161" i="19"/>
  <c r="B2262" i="19" l="1"/>
  <c r="B2209" i="19"/>
  <c r="C2210" i="19"/>
  <c r="B2162" i="19"/>
  <c r="C2264" i="19" l="1"/>
  <c r="B2263" i="19"/>
  <c r="C2211" i="19"/>
  <c r="B2210" i="19"/>
  <c r="B2163" i="19"/>
  <c r="B2264" i="19" l="1"/>
  <c r="B2211" i="19"/>
  <c r="C2212" i="19"/>
  <c r="B2164" i="19"/>
  <c r="B2265" i="19" l="1"/>
  <c r="B2212" i="19"/>
  <c r="B2165" i="19"/>
  <c r="C2267" i="19" l="1"/>
  <c r="B2266" i="19"/>
  <c r="B2213" i="19"/>
  <c r="C2214" i="19"/>
  <c r="B2166" i="19"/>
  <c r="B2267" i="19" l="1"/>
  <c r="B2214" i="19"/>
  <c r="B2167" i="19"/>
  <c r="B2268" i="19" l="1"/>
  <c r="B2215" i="19"/>
  <c r="B2168" i="19"/>
  <c r="B2269" i="19" l="1"/>
  <c r="C2217" i="19"/>
  <c r="B2216" i="19"/>
  <c r="B2169" i="19"/>
  <c r="B2270" i="19" l="1"/>
  <c r="B2217" i="19"/>
  <c r="C2171" i="19"/>
  <c r="B2170" i="19"/>
  <c r="B2271" i="19" l="1"/>
  <c r="C2219" i="19"/>
  <c r="B2218" i="19"/>
  <c r="C2172" i="19"/>
  <c r="B2171" i="19"/>
  <c r="B2272" i="19" l="1"/>
  <c r="B2219" i="19"/>
  <c r="B2172" i="19"/>
  <c r="B2273" i="19" l="1"/>
  <c r="B2173" i="19"/>
  <c r="C2174" i="19"/>
  <c r="C2275" i="19" l="1"/>
  <c r="B2274" i="19"/>
  <c r="B2222" i="19"/>
  <c r="B2174" i="19"/>
  <c r="C2276" i="19" l="1"/>
  <c r="B2275" i="19"/>
  <c r="B2223" i="19"/>
  <c r="B2175" i="19"/>
  <c r="B2276" i="19" l="1"/>
  <c r="B2224" i="19"/>
  <c r="B2176" i="19"/>
  <c r="B2277" i="19" l="1"/>
  <c r="B2225" i="19"/>
  <c r="B2177" i="19"/>
  <c r="C2279" i="19" l="1"/>
  <c r="H2280" i="19" s="1"/>
  <c r="B2278" i="19"/>
  <c r="C2226" i="19"/>
  <c r="B2226" i="19" s="1"/>
  <c r="B2178" i="19"/>
  <c r="B2279" i="19" l="1"/>
  <c r="B2227" i="19"/>
  <c r="B2179" i="19"/>
  <c r="C2228" i="19" l="1"/>
  <c r="B2228" i="19" s="1"/>
  <c r="B2180" i="19"/>
  <c r="B2229" i="19" l="1"/>
  <c r="B2181" i="19"/>
  <c r="B2230" i="19" l="1"/>
  <c r="B2182" i="19"/>
  <c r="B2231" i="19" l="1"/>
  <c r="B2183" i="19"/>
  <c r="B2232" i="19" l="1"/>
  <c r="C2185" i="19"/>
  <c r="B2184" i="19"/>
  <c r="B2233" i="19" l="1"/>
  <c r="B2185" i="19"/>
  <c r="B2234" i="19" l="1"/>
  <c r="B2186" i="19"/>
  <c r="B2235" i="19" l="1"/>
  <c r="B2187" i="19"/>
  <c r="B2188" i="19" l="1"/>
  <c r="B2189" i="19" l="1"/>
  <c r="C2191" i="19" l="1"/>
  <c r="B2190" i="19"/>
  <c r="C2192" i="19" l="1"/>
  <c r="B2191" i="19"/>
  <c r="B2192" i="19" l="1"/>
  <c r="C2193" i="19"/>
  <c r="B2193" i="19" s="1"/>
  <c r="L61" i="3"/>
  <c r="M61" i="3" s="1"/>
  <c r="J31" i="3"/>
  <c r="X21" i="24" l="1"/>
  <c r="Y21" i="24" s="1"/>
  <c r="F106" i="15"/>
  <c r="G106" i="15" s="1"/>
  <c r="B2149" i="19"/>
  <c r="C2104" i="19"/>
  <c r="B2104" i="19" s="1"/>
  <c r="C2105" i="19" l="1"/>
  <c r="M28" i="24"/>
  <c r="Q25" i="24"/>
  <c r="X13" i="24" l="1"/>
  <c r="Y13" i="24" s="1"/>
  <c r="X17" i="24"/>
  <c r="Y17" i="24" s="1"/>
  <c r="C2106" i="19"/>
  <c r="B2105" i="19"/>
  <c r="U54" i="24"/>
  <c r="K47" i="24"/>
  <c r="U47" i="24" s="1"/>
  <c r="U50" i="24"/>
  <c r="B2106" i="19" l="1"/>
  <c r="L11" i="12"/>
  <c r="B2107" i="19" l="1"/>
  <c r="J57" i="5"/>
  <c r="J50" i="5"/>
  <c r="J24" i="5"/>
  <c r="J17" i="5"/>
  <c r="L8" i="5"/>
  <c r="L52" i="3"/>
  <c r="M52" i="3" s="1"/>
  <c r="J40" i="3"/>
  <c r="H27" i="12" l="1"/>
  <c r="H29" i="12" s="1"/>
  <c r="H66" i="12"/>
  <c r="L40" i="3"/>
  <c r="B2108" i="19"/>
  <c r="C2109" i="19"/>
  <c r="J26" i="5"/>
  <c r="J36" i="5" s="1"/>
  <c r="J59" i="5"/>
  <c r="D36" i="6"/>
  <c r="C2061" i="19"/>
  <c r="B2061" i="19" s="1"/>
  <c r="H57" i="12" l="1"/>
  <c r="H68" i="12" s="1"/>
  <c r="H71" i="12" s="1"/>
  <c r="G70" i="12" s="1"/>
  <c r="D41" i="6"/>
  <c r="H35" i="6"/>
  <c r="J67" i="5"/>
  <c r="B2109" i="19"/>
  <c r="C2110" i="19"/>
  <c r="J70" i="5"/>
  <c r="C2063" i="19"/>
  <c r="B2062" i="19"/>
  <c r="L31" i="3"/>
  <c r="I88" i="3" l="1"/>
  <c r="B2110" i="19"/>
  <c r="B2063" i="19"/>
  <c r="I19" i="32"/>
  <c r="I15" i="32"/>
  <c r="B2111" i="19" l="1"/>
  <c r="C2112" i="19"/>
  <c r="B2064" i="19"/>
  <c r="C2065" i="19"/>
  <c r="I48" i="32"/>
  <c r="I44" i="32"/>
  <c r="I41" i="32"/>
  <c r="I24" i="32"/>
  <c r="I21" i="32"/>
  <c r="G48" i="32"/>
  <c r="G44" i="32"/>
  <c r="G11" i="32"/>
  <c r="B2112" i="19" l="1"/>
  <c r="C2113" i="19"/>
  <c r="B2065" i="19"/>
  <c r="G49" i="32"/>
  <c r="I25" i="32"/>
  <c r="G25" i="32"/>
  <c r="B2113" i="19" l="1"/>
  <c r="B2066" i="19"/>
  <c r="G51" i="32"/>
  <c r="G56" i="32" s="1"/>
  <c r="I49" i="32"/>
  <c r="I51" i="32" s="1"/>
  <c r="I56" i="32" s="1"/>
  <c r="B2114" i="19" l="1"/>
  <c r="B2067" i="19"/>
  <c r="L57" i="3"/>
  <c r="B2115" i="19" l="1"/>
  <c r="C2116" i="19"/>
  <c r="C2069" i="19"/>
  <c r="B2068" i="19"/>
  <c r="G17" i="31"/>
  <c r="G10" i="31"/>
  <c r="B2116" i="19" l="1"/>
  <c r="B2069" i="19"/>
  <c r="C1971" i="19"/>
  <c r="B1971" i="19" s="1"/>
  <c r="B1970" i="19"/>
  <c r="B2117" i="19" l="1"/>
  <c r="B2070" i="19"/>
  <c r="C1972" i="19"/>
  <c r="B1972" i="19" s="1"/>
  <c r="B1973" i="19"/>
  <c r="B2118" i="19" l="1"/>
  <c r="B2071" i="19"/>
  <c r="B1974" i="19"/>
  <c r="B2119" i="19" l="1"/>
  <c r="B2072" i="19"/>
  <c r="B1975" i="19"/>
  <c r="B2120" i="19" l="1"/>
  <c r="B2073" i="19"/>
  <c r="B1976" i="19"/>
  <c r="B2121" i="19" l="1"/>
  <c r="C2075" i="19"/>
  <c r="B2074" i="19"/>
  <c r="B1977" i="19"/>
  <c r="C2123" i="19" l="1"/>
  <c r="B2122" i="19"/>
  <c r="B2075" i="19"/>
  <c r="B1978" i="19"/>
  <c r="B2123" i="19" l="1"/>
  <c r="B2076" i="19"/>
  <c r="C2077" i="19"/>
  <c r="B1979" i="19"/>
  <c r="B2124" i="19" l="1"/>
  <c r="B2077" i="19"/>
  <c r="B1980" i="19"/>
  <c r="B2125" i="19" l="1"/>
  <c r="C2079" i="19"/>
  <c r="B2078" i="19"/>
  <c r="B1981" i="19"/>
  <c r="B2126" i="19" l="1"/>
  <c r="B2079" i="19"/>
  <c r="B1982" i="19"/>
  <c r="B2127" i="19" l="1"/>
  <c r="C2128" i="19"/>
  <c r="C2081" i="19"/>
  <c r="B2080" i="19"/>
  <c r="B1983" i="19"/>
  <c r="B2128" i="19" l="1"/>
  <c r="C2129" i="19"/>
  <c r="B2081" i="19"/>
  <c r="B1984" i="19"/>
  <c r="B2129" i="19" l="1"/>
  <c r="C2083" i="19"/>
  <c r="B2082" i="19"/>
  <c r="B1985" i="19"/>
  <c r="B2130" i="19" l="1"/>
  <c r="B2083" i="19"/>
  <c r="B1986" i="19"/>
  <c r="C1987" i="19"/>
  <c r="B2131" i="19" l="1"/>
  <c r="B2084" i="19"/>
  <c r="C2085" i="19"/>
  <c r="B1987" i="19"/>
  <c r="B2132" i="19" l="1"/>
  <c r="B2085" i="19"/>
  <c r="B1988" i="19"/>
  <c r="B2133" i="19" l="1"/>
  <c r="B2086" i="19"/>
  <c r="B1989" i="19"/>
  <c r="C2135" i="19" l="1"/>
  <c r="B2134" i="19"/>
  <c r="B2087" i="19"/>
  <c r="B1990" i="19"/>
  <c r="B2135" i="19" l="1"/>
  <c r="B2088" i="19"/>
  <c r="C1992" i="19"/>
  <c r="B1991" i="19"/>
  <c r="B2136" i="19" l="1"/>
  <c r="C2137" i="19"/>
  <c r="B2089" i="19"/>
  <c r="B1992" i="19"/>
  <c r="B2137" i="19" l="1"/>
  <c r="B2090" i="19"/>
  <c r="B1993" i="19"/>
  <c r="B2138" i="19" l="1"/>
  <c r="B2091" i="19"/>
  <c r="B1994" i="19"/>
  <c r="B2139" i="19" l="1"/>
  <c r="B2092" i="19"/>
  <c r="B1995" i="19"/>
  <c r="C1996" i="19"/>
  <c r="B2140" i="19" l="1"/>
  <c r="C2141" i="19"/>
  <c r="B2093" i="19"/>
  <c r="C1997" i="19"/>
  <c r="B1996" i="19"/>
  <c r="B2141" i="19" l="1"/>
  <c r="B2094" i="19"/>
  <c r="C1998" i="19"/>
  <c r="B1997" i="19"/>
  <c r="C2143" i="19" l="1"/>
  <c r="B2142" i="19"/>
  <c r="B2095" i="19"/>
  <c r="B1998" i="19"/>
  <c r="B2143" i="19" l="1"/>
  <c r="B2096" i="19"/>
  <c r="B1999" i="19"/>
  <c r="B2144" i="19" l="1"/>
  <c r="B2097" i="19"/>
  <c r="B2000" i="19"/>
  <c r="B2145" i="19" l="1"/>
  <c r="C2099" i="19"/>
  <c r="B2098" i="19"/>
  <c r="B2001" i="19"/>
  <c r="C2002" i="19"/>
  <c r="C2147" i="19" l="1"/>
  <c r="B2146" i="19"/>
  <c r="B2099" i="19"/>
  <c r="B2002" i="19"/>
  <c r="B2147" i="19" l="1"/>
  <c r="C2148" i="19"/>
  <c r="B2148" i="19" s="1"/>
  <c r="H2396" i="19" s="1"/>
  <c r="B2100" i="19"/>
  <c r="B2003" i="19"/>
  <c r="B2101" i="19" l="1"/>
  <c r="B2004" i="19"/>
  <c r="B2103" i="19" l="1"/>
  <c r="B2102" i="19"/>
  <c r="C2006" i="19"/>
  <c r="B2005" i="19"/>
  <c r="B2006" i="19" l="1"/>
  <c r="B2007" i="19" l="1"/>
  <c r="B2008" i="19" l="1"/>
  <c r="B2009" i="19" l="1"/>
  <c r="C2010" i="19"/>
  <c r="C2011" i="19" l="1"/>
  <c r="B2010" i="19"/>
  <c r="B2011" i="19" l="1"/>
  <c r="B2012" i="19" l="1"/>
  <c r="B2013" i="19" l="1"/>
  <c r="B2014" i="19" l="1"/>
  <c r="B2015" i="19" l="1"/>
  <c r="C2017" i="19"/>
  <c r="C2018" i="19" l="1"/>
  <c r="B2017" i="19"/>
  <c r="B2016" i="19"/>
  <c r="C2019" i="19" l="1"/>
  <c r="B2018" i="19"/>
  <c r="J36" i="3"/>
  <c r="L34" i="3"/>
  <c r="G66" i="12" l="1"/>
  <c r="B2019" i="19"/>
  <c r="M66" i="12" l="1"/>
  <c r="L66" i="12"/>
  <c r="B2020" i="19"/>
  <c r="G14" i="31"/>
  <c r="G21" i="31" s="1"/>
  <c r="H9" i="3" l="1"/>
  <c r="K9" i="3"/>
  <c r="B2021" i="19"/>
  <c r="C2022" i="19"/>
  <c r="G23" i="31"/>
  <c r="O57" i="30"/>
  <c r="O56" i="30"/>
  <c r="C2023" i="19" l="1"/>
  <c r="B2022" i="19"/>
  <c r="O43" i="30"/>
  <c r="O42" i="30" s="1"/>
  <c r="B2023" i="19" l="1"/>
  <c r="K34" i="30"/>
  <c r="K51" i="30"/>
  <c r="K56" i="30" s="1"/>
  <c r="K45" i="30"/>
  <c r="M45" i="30" s="1"/>
  <c r="K47" i="30"/>
  <c r="M47" i="30"/>
  <c r="K50" i="30"/>
  <c r="M50" i="30" s="1"/>
  <c r="M49" i="30"/>
  <c r="M48" i="30"/>
  <c r="M39" i="30"/>
  <c r="M38" i="30"/>
  <c r="M36" i="30"/>
  <c r="M35" i="30"/>
  <c r="K40" i="30"/>
  <c r="M40" i="30" s="1"/>
  <c r="K42" i="30"/>
  <c r="K43" i="30"/>
  <c r="M37" i="30"/>
  <c r="K33" i="30"/>
  <c r="K32" i="30"/>
  <c r="M32" i="30" s="1"/>
  <c r="B2024" i="19" l="1"/>
  <c r="M27" i="30"/>
  <c r="M23" i="30"/>
  <c r="M22" i="30"/>
  <c r="M21" i="30"/>
  <c r="M18" i="30"/>
  <c r="M16" i="30"/>
  <c r="K11" i="30"/>
  <c r="M11" i="30" s="1"/>
  <c r="B2025" i="19" l="1"/>
  <c r="M57" i="30"/>
  <c r="K57" i="30"/>
  <c r="J57" i="30"/>
  <c r="J52" i="30"/>
  <c r="J51" i="30"/>
  <c r="J46" i="30"/>
  <c r="J44" i="30"/>
  <c r="J43" i="30"/>
  <c r="J33" i="30"/>
  <c r="J26" i="30"/>
  <c r="J24" i="30"/>
  <c r="J20" i="30"/>
  <c r="J19" i="30"/>
  <c r="J17" i="30"/>
  <c r="J13" i="30"/>
  <c r="J10" i="30"/>
  <c r="M10" i="30" s="1"/>
  <c r="B1925" i="19"/>
  <c r="B2026" i="19" l="1"/>
  <c r="J56" i="30"/>
  <c r="M51" i="30"/>
  <c r="J41" i="30"/>
  <c r="K24" i="30"/>
  <c r="M24" i="30" s="1"/>
  <c r="O24" i="30" s="1"/>
  <c r="O25" i="30" s="1"/>
  <c r="O28" i="30" s="1"/>
  <c r="M43" i="30"/>
  <c r="K20" i="30"/>
  <c r="M20" i="30" s="1"/>
  <c r="M44" i="30"/>
  <c r="M52" i="30"/>
  <c r="J34" i="30"/>
  <c r="M34" i="30" s="1"/>
  <c r="M33" i="30"/>
  <c r="K26" i="30"/>
  <c r="M26" i="30" s="1"/>
  <c r="M46" i="30"/>
  <c r="K19" i="30"/>
  <c r="M19" i="30" s="1"/>
  <c r="K17" i="30"/>
  <c r="M17" i="30" s="1"/>
  <c r="K13" i="30"/>
  <c r="M13" i="30" s="1"/>
  <c r="J42" i="30"/>
  <c r="C1926" i="19"/>
  <c r="B2027" i="19" l="1"/>
  <c r="K41" i="30"/>
  <c r="K53" i="30" s="1"/>
  <c r="M42" i="30"/>
  <c r="M56" i="30"/>
  <c r="J53" i="30"/>
  <c r="B1926" i="19"/>
  <c r="B2028" i="19" l="1"/>
  <c r="M41" i="30"/>
  <c r="O41" i="30" s="1"/>
  <c r="O53" i="30" s="1"/>
  <c r="O54" i="30" s="1"/>
  <c r="O58" i="30" s="1"/>
  <c r="B1927" i="19"/>
  <c r="B2029" i="19" l="1"/>
  <c r="M53" i="30"/>
  <c r="B1928" i="19"/>
  <c r="C1929" i="19"/>
  <c r="B2030" i="19" l="1"/>
  <c r="B1929" i="19"/>
  <c r="B2031" i="19" l="1"/>
  <c r="B1930" i="19"/>
  <c r="C1931" i="19"/>
  <c r="B2032" i="19" l="1"/>
  <c r="C1932" i="19"/>
  <c r="B1931" i="19"/>
  <c r="B2033" i="19" l="1"/>
  <c r="B1932" i="19"/>
  <c r="C1933" i="19"/>
  <c r="B2034" i="19" l="1"/>
  <c r="B1933" i="19"/>
  <c r="B2035" i="19" l="1"/>
  <c r="B1934" i="19"/>
  <c r="B2036" i="19" l="1"/>
  <c r="C2037" i="19"/>
  <c r="B1935" i="19"/>
  <c r="C1936" i="19"/>
  <c r="B2037" i="19" l="1"/>
  <c r="B1936" i="19"/>
  <c r="C1937" i="19"/>
  <c r="B2038" i="19" l="1"/>
  <c r="B1937" i="19"/>
  <c r="C2040" i="19" l="1"/>
  <c r="B2039" i="19"/>
  <c r="C1939" i="19"/>
  <c r="B1938" i="19"/>
  <c r="B2040" i="19" l="1"/>
  <c r="C2041" i="19"/>
  <c r="B1939" i="19"/>
  <c r="B2041" i="19" l="1"/>
  <c r="C2042" i="19"/>
  <c r="B1940" i="19"/>
  <c r="B2042" i="19" l="1"/>
  <c r="C2043" i="19"/>
  <c r="B1941" i="19"/>
  <c r="C2044" i="19" l="1"/>
  <c r="B2043" i="19"/>
  <c r="B1942" i="19"/>
  <c r="C1943" i="19"/>
  <c r="B2044" i="19" l="1"/>
  <c r="B1943" i="19"/>
  <c r="B2045" i="19" l="1"/>
  <c r="C2046" i="19"/>
  <c r="B1944" i="19"/>
  <c r="C1945" i="19"/>
  <c r="B2046" i="19" l="1"/>
  <c r="B1945" i="19"/>
  <c r="B2047" i="19" l="1"/>
  <c r="C1947" i="19"/>
  <c r="B1946" i="19"/>
  <c r="B2048" i="19" l="1"/>
  <c r="B1947" i="19"/>
  <c r="C2050" i="19" l="1"/>
  <c r="B2049" i="19"/>
  <c r="B1948" i="19"/>
  <c r="B2050" i="19" l="1"/>
  <c r="B1949" i="19"/>
  <c r="B2051" i="19" l="1"/>
  <c r="B1950" i="19"/>
  <c r="B2052" i="19" l="1"/>
  <c r="C1952" i="19"/>
  <c r="B1951" i="19"/>
  <c r="B2053" i="19" l="1"/>
  <c r="B1952" i="19"/>
  <c r="B2054" i="19" l="1"/>
  <c r="C2055" i="19"/>
  <c r="B1953" i="19"/>
  <c r="B2055" i="19" l="1"/>
  <c r="C2056" i="19"/>
  <c r="B1954" i="19"/>
  <c r="B2056" i="19" l="1"/>
  <c r="C1956" i="19"/>
  <c r="B1955" i="19"/>
  <c r="B2057" i="19" l="1"/>
  <c r="B1956" i="19"/>
  <c r="C1957" i="19"/>
  <c r="C2059" i="19" l="1"/>
  <c r="B2058" i="19"/>
  <c r="B1957" i="19"/>
  <c r="B2060" i="19" l="1"/>
  <c r="B2059" i="19"/>
  <c r="C1959" i="19"/>
  <c r="B1958" i="19"/>
  <c r="B1959" i="19" l="1"/>
  <c r="B1960" i="19" l="1"/>
  <c r="B1961" i="19" l="1"/>
  <c r="B1962" i="19" l="1"/>
  <c r="B1963" i="19" l="1"/>
  <c r="B1964" i="19" l="1"/>
  <c r="C1965" i="19"/>
  <c r="B1965" i="19" l="1"/>
  <c r="B1966" i="19" l="1"/>
  <c r="B1967" i="19" l="1"/>
  <c r="B1968" i="19" l="1"/>
  <c r="B1969" i="19"/>
  <c r="M9" i="24" l="1"/>
  <c r="M69" i="24" l="1"/>
  <c r="D19" i="6"/>
  <c r="K116" i="29" l="1"/>
  <c r="G116" i="29"/>
  <c r="K114" i="29"/>
  <c r="J114" i="29"/>
  <c r="I114" i="29"/>
  <c r="H114" i="29"/>
  <c r="G114" i="29"/>
  <c r="K109" i="29"/>
  <c r="K100" i="29"/>
  <c r="J100" i="29"/>
  <c r="I100" i="29"/>
  <c r="H100" i="29"/>
  <c r="J87" i="29"/>
  <c r="J109" i="29" s="1"/>
  <c r="I87" i="29"/>
  <c r="I109" i="29" s="1"/>
  <c r="H87" i="29"/>
  <c r="H109" i="29" s="1"/>
  <c r="I85" i="29"/>
  <c r="H85" i="29"/>
  <c r="K78" i="29"/>
  <c r="J78" i="29"/>
  <c r="K74" i="29"/>
  <c r="K96" i="29" s="1"/>
  <c r="J74" i="29"/>
  <c r="J96" i="29" s="1"/>
  <c r="I74" i="29"/>
  <c r="I79" i="29" s="1"/>
  <c r="H74" i="29"/>
  <c r="H79" i="29" s="1"/>
  <c r="J71" i="29"/>
  <c r="I71" i="29"/>
  <c r="H71" i="29"/>
  <c r="K70" i="29"/>
  <c r="K69" i="29"/>
  <c r="J67" i="29"/>
  <c r="I67" i="29"/>
  <c r="H67" i="29"/>
  <c r="K66" i="29"/>
  <c r="K65" i="29"/>
  <c r="K67" i="29" s="1"/>
  <c r="K60" i="29"/>
  <c r="J60" i="29"/>
  <c r="H60" i="29"/>
  <c r="K50" i="29"/>
  <c r="G50" i="29"/>
  <c r="H49" i="29"/>
  <c r="K45" i="29"/>
  <c r="J45" i="29"/>
  <c r="H45" i="29"/>
  <c r="J40" i="29"/>
  <c r="H40" i="29"/>
  <c r="J39" i="29"/>
  <c r="J38" i="29"/>
  <c r="H38" i="29"/>
  <c r="K37" i="29"/>
  <c r="K36" i="29"/>
  <c r="K76" i="29" s="1"/>
  <c r="K98" i="29" s="1"/>
  <c r="J36" i="29"/>
  <c r="J107" i="29" s="1"/>
  <c r="I36" i="29"/>
  <c r="I107" i="29" s="1"/>
  <c r="H36" i="29"/>
  <c r="H107" i="29" s="1"/>
  <c r="G36" i="29"/>
  <c r="G46" i="29" s="1"/>
  <c r="J35" i="29"/>
  <c r="J50" i="29" s="1"/>
  <c r="I35" i="29"/>
  <c r="I50" i="29" s="1"/>
  <c r="H35" i="29"/>
  <c r="H50" i="29" s="1"/>
  <c r="K29" i="29"/>
  <c r="J28" i="29"/>
  <c r="J29" i="29" s="1"/>
  <c r="I28" i="29"/>
  <c r="H28" i="29"/>
  <c r="K19" i="29"/>
  <c r="J18" i="29"/>
  <c r="J21" i="29" s="1"/>
  <c r="H18" i="29"/>
  <c r="H21" i="29" s="1"/>
  <c r="G16" i="29"/>
  <c r="K15" i="29"/>
  <c r="K18" i="29" s="1"/>
  <c r="G15" i="29"/>
  <c r="I12" i="29"/>
  <c r="I8" i="29"/>
  <c r="I60" i="29" s="1"/>
  <c r="G8" i="29"/>
  <c r="H96" i="29" l="1"/>
  <c r="H101" i="29" s="1"/>
  <c r="K71" i="29"/>
  <c r="J85" i="29"/>
  <c r="K85" i="29"/>
  <c r="K79" i="29"/>
  <c r="G115" i="29"/>
  <c r="I18" i="29"/>
  <c r="I21" i="29" s="1"/>
  <c r="K21" i="29"/>
  <c r="J101" i="29"/>
  <c r="K107" i="29"/>
  <c r="I96" i="29"/>
  <c r="I101" i="29" s="1"/>
  <c r="I46" i="29"/>
  <c r="I54" i="29" s="1"/>
  <c r="G18" i="29"/>
  <c r="G21" i="29" s="1"/>
  <c r="G47" i="29" s="1"/>
  <c r="G51" i="29" s="1"/>
  <c r="K101" i="29"/>
  <c r="J46" i="29"/>
  <c r="J47" i="29" s="1"/>
  <c r="J51" i="29" s="1"/>
  <c r="K46" i="29"/>
  <c r="K57" i="29" s="1"/>
  <c r="J79" i="29"/>
  <c r="H23" i="29"/>
  <c r="G57" i="29"/>
  <c r="H76" i="29"/>
  <c r="H98" i="29" s="1"/>
  <c r="H116" i="29"/>
  <c r="H46" i="29"/>
  <c r="H47" i="29" s="1"/>
  <c r="H51" i="29" s="1"/>
  <c r="I76" i="29"/>
  <c r="I98" i="29" s="1"/>
  <c r="I116" i="29"/>
  <c r="G54" i="29"/>
  <c r="J76" i="29"/>
  <c r="J98" i="29" s="1"/>
  <c r="J116" i="29"/>
  <c r="J115" i="29" l="1"/>
  <c r="K47" i="29"/>
  <c r="K51" i="29" s="1"/>
  <c r="J63" i="29"/>
  <c r="K54" i="29"/>
  <c r="K115" i="29"/>
  <c r="J54" i="29"/>
  <c r="J57" i="29"/>
  <c r="I75" i="29"/>
  <c r="I84" i="29" s="1"/>
  <c r="K63" i="29"/>
  <c r="I47" i="29"/>
  <c r="I51" i="29" s="1"/>
  <c r="I63" i="29"/>
  <c r="J75" i="29"/>
  <c r="J80" i="29" s="1"/>
  <c r="I57" i="29"/>
  <c r="I115" i="29"/>
  <c r="K75" i="29"/>
  <c r="K97" i="29" s="1"/>
  <c r="H115" i="29"/>
  <c r="H54" i="29"/>
  <c r="H63" i="29"/>
  <c r="H57" i="29"/>
  <c r="H75" i="29"/>
  <c r="K77" i="29" l="1"/>
  <c r="J77" i="29"/>
  <c r="I97" i="29"/>
  <c r="I106" i="29" s="1"/>
  <c r="K80" i="29"/>
  <c r="I77" i="29"/>
  <c r="J84" i="29"/>
  <c r="I80" i="29"/>
  <c r="J97" i="29"/>
  <c r="J106" i="29" s="1"/>
  <c r="K84" i="29"/>
  <c r="I83" i="29"/>
  <c r="K106" i="29"/>
  <c r="K102" i="29"/>
  <c r="K99" i="29"/>
  <c r="J83" i="29"/>
  <c r="H97" i="29"/>
  <c r="H77" i="29"/>
  <c r="H84" i="29"/>
  <c r="H80" i="29"/>
  <c r="K83" i="29"/>
  <c r="I99" i="29" l="1"/>
  <c r="J99" i="29"/>
  <c r="J102" i="29"/>
  <c r="I102" i="29"/>
  <c r="H106" i="29"/>
  <c r="H102" i="29"/>
  <c r="H99" i="29"/>
  <c r="J105" i="29"/>
  <c r="H83" i="29"/>
  <c r="K105" i="29"/>
  <c r="I86" i="29"/>
  <c r="I88" i="29"/>
  <c r="K86" i="29"/>
  <c r="K88" i="29"/>
  <c r="J86" i="29"/>
  <c r="J88" i="29"/>
  <c r="I105" i="29"/>
  <c r="J110" i="29" l="1"/>
  <c r="J108" i="29"/>
  <c r="K110" i="29"/>
  <c r="K112" i="29" s="1"/>
  <c r="K108" i="29"/>
  <c r="K89" i="29"/>
  <c r="K91" i="29"/>
  <c r="H88" i="29"/>
  <c r="H86" i="29"/>
  <c r="K90" i="29"/>
  <c r="I110" i="29"/>
  <c r="I108" i="29"/>
  <c r="I89" i="29"/>
  <c r="I91" i="29"/>
  <c r="I90" i="29"/>
  <c r="J89" i="29"/>
  <c r="J91" i="29"/>
  <c r="J90" i="29"/>
  <c r="H105" i="29"/>
  <c r="H110" i="29" l="1"/>
  <c r="H108" i="29"/>
  <c r="H89" i="29"/>
  <c r="H91" i="29"/>
  <c r="I111" i="29"/>
  <c r="I113" i="29"/>
  <c r="I112" i="29"/>
  <c r="K111" i="29"/>
  <c r="K113" i="29"/>
  <c r="J111" i="29"/>
  <c r="J113" i="29"/>
  <c r="H90" i="29"/>
  <c r="J112" i="29"/>
  <c r="H111" i="29" l="1"/>
  <c r="H113" i="29"/>
  <c r="H112" i="29"/>
  <c r="K9" i="24" l="1"/>
  <c r="K69" i="24" s="1"/>
  <c r="B1883" i="19" l="1"/>
  <c r="B1882" i="19"/>
  <c r="B1884" i="19" l="1"/>
  <c r="C1885" i="19"/>
  <c r="B1885" i="19" l="1"/>
  <c r="J70" i="12"/>
  <c r="B1886" i="19" l="1"/>
  <c r="B1887" i="19" l="1"/>
  <c r="F110" i="15"/>
  <c r="D108" i="15"/>
  <c r="G74" i="15"/>
  <c r="B1888" i="19" l="1"/>
  <c r="C1850" i="19"/>
  <c r="C1856" i="19" s="1"/>
  <c r="C1857" i="19" s="1"/>
  <c r="C1862" i="19" s="1"/>
  <c r="C1875" i="19" s="1"/>
  <c r="C1877" i="19" s="1"/>
  <c r="B1881" i="19" s="1"/>
  <c r="B1889" i="19" l="1"/>
  <c r="B1857" i="19"/>
  <c r="B1849" i="19"/>
  <c r="B1850" i="19"/>
  <c r="B1865" i="19"/>
  <c r="B1873" i="19"/>
  <c r="B1866" i="19"/>
  <c r="B1868" i="19"/>
  <c r="B1845" i="19"/>
  <c r="B1853" i="19"/>
  <c r="B1861" i="19"/>
  <c r="B1877" i="19"/>
  <c r="B1862" i="19"/>
  <c r="B1878" i="19"/>
  <c r="B1847" i="19"/>
  <c r="B1855" i="19"/>
  <c r="B1863" i="19"/>
  <c r="B1871" i="19"/>
  <c r="B1879" i="19"/>
  <c r="B1858" i="19"/>
  <c r="B1874" i="19"/>
  <c r="B1851" i="19"/>
  <c r="B1859" i="19"/>
  <c r="B1867" i="19"/>
  <c r="B1875" i="19"/>
  <c r="B1852" i="19"/>
  <c r="B1860" i="19"/>
  <c r="B1876" i="19"/>
  <c r="B1869" i="19"/>
  <c r="B1846" i="19"/>
  <c r="B1854" i="19"/>
  <c r="B1870" i="19"/>
  <c r="B1848" i="19"/>
  <c r="B1856" i="19"/>
  <c r="B1864" i="19"/>
  <c r="B1872" i="19"/>
  <c r="B1880" i="19"/>
  <c r="J66" i="12"/>
  <c r="C1891" i="19" l="1"/>
  <c r="B1890" i="19"/>
  <c r="K36" i="3"/>
  <c r="B1891" i="19" l="1"/>
  <c r="E102" i="15"/>
  <c r="G110" i="15"/>
  <c r="B1892" i="19" l="1"/>
  <c r="B1893" i="19" l="1"/>
  <c r="B1894" i="19" l="1"/>
  <c r="G27" i="12" l="1"/>
  <c r="J15" i="30"/>
  <c r="M15" i="30" s="1"/>
  <c r="B1895" i="19"/>
  <c r="H16" i="6"/>
  <c r="L27" i="12" l="1"/>
  <c r="M27" i="12"/>
  <c r="G29" i="12"/>
  <c r="B1896" i="19"/>
  <c r="G117" i="28"/>
  <c r="K115" i="28"/>
  <c r="J115" i="28"/>
  <c r="I115" i="28"/>
  <c r="H115" i="28"/>
  <c r="G115" i="28"/>
  <c r="K110" i="28"/>
  <c r="K101" i="28"/>
  <c r="J101" i="28"/>
  <c r="I101" i="28"/>
  <c r="H101" i="28"/>
  <c r="J88" i="28"/>
  <c r="J110" i="28" s="1"/>
  <c r="I88" i="28"/>
  <c r="I110" i="28" s="1"/>
  <c r="H88" i="28"/>
  <c r="H110" i="28" s="1"/>
  <c r="I86" i="28"/>
  <c r="H86" i="28"/>
  <c r="K79" i="28"/>
  <c r="J79" i="28"/>
  <c r="K75" i="28"/>
  <c r="K97" i="28" s="1"/>
  <c r="J75" i="28"/>
  <c r="J97" i="28" s="1"/>
  <c r="I75" i="28"/>
  <c r="I97" i="28" s="1"/>
  <c r="H75" i="28"/>
  <c r="H80" i="28" s="1"/>
  <c r="J72" i="28"/>
  <c r="I72" i="28"/>
  <c r="H72" i="28"/>
  <c r="K71" i="28"/>
  <c r="K70" i="28"/>
  <c r="J68" i="28"/>
  <c r="I68" i="28"/>
  <c r="H68" i="28"/>
  <c r="K67" i="28"/>
  <c r="K66" i="28"/>
  <c r="J61" i="28"/>
  <c r="H61" i="28"/>
  <c r="G51" i="28"/>
  <c r="H50" i="28"/>
  <c r="J46" i="28"/>
  <c r="H46" i="28"/>
  <c r="K45" i="28"/>
  <c r="K43" i="28"/>
  <c r="K42" i="28"/>
  <c r="J41" i="28"/>
  <c r="H41" i="28"/>
  <c r="J40" i="28"/>
  <c r="J39" i="28"/>
  <c r="H39" i="28"/>
  <c r="K38" i="28"/>
  <c r="K37" i="28"/>
  <c r="K108" i="28" s="1"/>
  <c r="J37" i="28"/>
  <c r="J86" i="28" s="1"/>
  <c r="I37" i="28"/>
  <c r="I108" i="28" s="1"/>
  <c r="H37" i="28"/>
  <c r="H108" i="28" s="1"/>
  <c r="G37" i="28"/>
  <c r="G47" i="28" s="1"/>
  <c r="K36" i="28"/>
  <c r="K51" i="28" s="1"/>
  <c r="J36" i="28"/>
  <c r="J51" i="28" s="1"/>
  <c r="I36" i="28"/>
  <c r="I117" i="28" s="1"/>
  <c r="H36" i="28"/>
  <c r="H51" i="28" s="1"/>
  <c r="K33" i="28"/>
  <c r="K29" i="28"/>
  <c r="J29" i="28"/>
  <c r="J30" i="28" s="1"/>
  <c r="I29" i="28"/>
  <c r="H29" i="28"/>
  <c r="K20" i="28"/>
  <c r="J19" i="28"/>
  <c r="J22" i="28" s="1"/>
  <c r="H19" i="28"/>
  <c r="H22" i="28" s="1"/>
  <c r="H24" i="28" s="1"/>
  <c r="G17" i="28"/>
  <c r="G16" i="28"/>
  <c r="I13" i="28"/>
  <c r="K11" i="28"/>
  <c r="K9" i="28"/>
  <c r="K61" i="28" s="1"/>
  <c r="I9" i="28"/>
  <c r="G9" i="28"/>
  <c r="A3" i="28"/>
  <c r="L29" i="12" l="1"/>
  <c r="M29" i="12"/>
  <c r="S29" i="12"/>
  <c r="K80" i="28"/>
  <c r="I19" i="28"/>
  <c r="I22" i="28" s="1"/>
  <c r="I102" i="28"/>
  <c r="J108" i="28"/>
  <c r="J117" i="28"/>
  <c r="J77" i="28"/>
  <c r="J99" i="28" s="1"/>
  <c r="K117" i="28"/>
  <c r="G19" i="28"/>
  <c r="G22" i="28" s="1"/>
  <c r="G48" i="28" s="1"/>
  <c r="G52" i="28" s="1"/>
  <c r="I80" i="28"/>
  <c r="I61" i="28"/>
  <c r="K72" i="28"/>
  <c r="H97" i="28"/>
  <c r="H102" i="28" s="1"/>
  <c r="K86" i="28"/>
  <c r="J47" i="28"/>
  <c r="J116" i="28" s="1"/>
  <c r="H47" i="28"/>
  <c r="H64" i="28" s="1"/>
  <c r="K68" i="28"/>
  <c r="K19" i="28"/>
  <c r="K22" i="28" s="1"/>
  <c r="K77" i="28"/>
  <c r="K99" i="28" s="1"/>
  <c r="I47" i="28"/>
  <c r="I55" i="28" s="1"/>
  <c r="B1897" i="19"/>
  <c r="G116" i="28"/>
  <c r="G58" i="28"/>
  <c r="G55" i="28"/>
  <c r="J102" i="28"/>
  <c r="K102" i="28"/>
  <c r="I51" i="28"/>
  <c r="J80" i="28"/>
  <c r="H77" i="28"/>
  <c r="H99" i="28" s="1"/>
  <c r="H117" i="28"/>
  <c r="K30" i="28"/>
  <c r="K47" i="28" s="1"/>
  <c r="I77" i="28"/>
  <c r="I99" i="28" s="1"/>
  <c r="J58" i="28" l="1"/>
  <c r="I116" i="28"/>
  <c r="I76" i="28"/>
  <c r="I78" i="28" s="1"/>
  <c r="I64" i="28"/>
  <c r="I48" i="28"/>
  <c r="I52" i="28" s="1"/>
  <c r="I58" i="28"/>
  <c r="J64" i="28"/>
  <c r="J55" i="28"/>
  <c r="J76" i="28"/>
  <c r="J78" i="28" s="1"/>
  <c r="H55" i="28"/>
  <c r="J48" i="28"/>
  <c r="J52" i="28" s="1"/>
  <c r="H116" i="28"/>
  <c r="H48" i="28"/>
  <c r="H52" i="28" s="1"/>
  <c r="H58" i="28"/>
  <c r="C1899" i="19"/>
  <c r="B1898" i="19"/>
  <c r="K76" i="28"/>
  <c r="K116" i="28"/>
  <c r="K55" i="28"/>
  <c r="K64" i="28"/>
  <c r="K58" i="28"/>
  <c r="K48" i="28"/>
  <c r="K52" i="28" s="1"/>
  <c r="I81" i="28"/>
  <c r="I85" i="28"/>
  <c r="H76" i="28"/>
  <c r="I98" i="28" l="1"/>
  <c r="J98" i="28"/>
  <c r="J100" i="28" s="1"/>
  <c r="J81" i="28"/>
  <c r="J85" i="28"/>
  <c r="J84" i="28" s="1"/>
  <c r="B1899" i="19"/>
  <c r="I84" i="28"/>
  <c r="H98" i="28"/>
  <c r="H81" i="28"/>
  <c r="H85" i="28"/>
  <c r="H78" i="28"/>
  <c r="K85" i="28"/>
  <c r="K81" i="28"/>
  <c r="K98" i="28"/>
  <c r="K78" i="28"/>
  <c r="J107" i="28"/>
  <c r="J103" i="28"/>
  <c r="I100" i="28"/>
  <c r="I107" i="28"/>
  <c r="I103" i="28"/>
  <c r="B1900" i="19" l="1"/>
  <c r="I106" i="28"/>
  <c r="K107" i="28"/>
  <c r="K103" i="28"/>
  <c r="K100" i="28"/>
  <c r="K84" i="28"/>
  <c r="H84" i="28"/>
  <c r="J106" i="28"/>
  <c r="H107" i="28"/>
  <c r="H103" i="28"/>
  <c r="H100" i="28"/>
  <c r="J87" i="28"/>
  <c r="J89" i="28"/>
  <c r="J91" i="28" s="1"/>
  <c r="I87" i="28"/>
  <c r="I89" i="28"/>
  <c r="I91" i="28" s="1"/>
  <c r="B1901" i="19" l="1"/>
  <c r="K87" i="28"/>
  <c r="K89" i="28"/>
  <c r="I90" i="28"/>
  <c r="I92" i="28"/>
  <c r="H106" i="28"/>
  <c r="J111" i="28"/>
  <c r="J113" i="28" s="1"/>
  <c r="J109" i="28"/>
  <c r="K106" i="28"/>
  <c r="I111" i="28"/>
  <c r="I113" i="28" s="1"/>
  <c r="I109" i="28"/>
  <c r="J90" i="28"/>
  <c r="J92" i="28"/>
  <c r="H87" i="28"/>
  <c r="H89" i="28"/>
  <c r="H91" i="28" s="1"/>
  <c r="B1902" i="19" l="1"/>
  <c r="H111" i="28"/>
  <c r="H109" i="28"/>
  <c r="H90" i="28"/>
  <c r="H92" i="28"/>
  <c r="K90" i="28"/>
  <c r="K92" i="28"/>
  <c r="I112" i="28"/>
  <c r="I114" i="28"/>
  <c r="K111" i="28"/>
  <c r="K109" i="28"/>
  <c r="K91" i="28"/>
  <c r="J112" i="28"/>
  <c r="J114" i="28"/>
  <c r="B1903" i="19" l="1"/>
  <c r="K112" i="28"/>
  <c r="K114" i="28"/>
  <c r="K113" i="28"/>
  <c r="H112" i="28"/>
  <c r="H114" i="28"/>
  <c r="H113" i="28"/>
  <c r="B1904" i="19" l="1"/>
  <c r="C1905" i="19"/>
  <c r="G47" i="27"/>
  <c r="G43" i="27"/>
  <c r="I37" i="27"/>
  <c r="G35" i="27"/>
  <c r="I28" i="27"/>
  <c r="I48" i="27" s="1"/>
  <c r="I24" i="27"/>
  <c r="G11" i="27"/>
  <c r="G24" i="27" s="1"/>
  <c r="G48" i="27" l="1"/>
  <c r="B1905" i="19"/>
  <c r="C1906" i="19"/>
  <c r="G50" i="27"/>
  <c r="G55" i="27" s="1"/>
  <c r="I50" i="27"/>
  <c r="I55" i="27" s="1"/>
  <c r="C1907" i="19" l="1"/>
  <c r="B1906" i="19"/>
  <c r="G92" i="15"/>
  <c r="B1907" i="19" l="1"/>
  <c r="B1908" i="19" l="1"/>
  <c r="C1909" i="19"/>
  <c r="H38" i="6"/>
  <c r="B1909" i="19" l="1"/>
  <c r="C1712" i="19"/>
  <c r="B1712" i="19" s="1"/>
  <c r="B1710" i="19"/>
  <c r="B1910" i="19" l="1"/>
  <c r="B1713" i="19"/>
  <c r="B1911" i="19" l="1"/>
  <c r="B1714" i="19"/>
  <c r="C1715" i="19"/>
  <c r="B1912" i="19" l="1"/>
  <c r="B1715" i="19"/>
  <c r="G105" i="15"/>
  <c r="C1665" i="19"/>
  <c r="C1666" i="19" s="1"/>
  <c r="C1659" i="19"/>
  <c r="C1660" i="19" s="1"/>
  <c r="B1660" i="19" s="1"/>
  <c r="B1664" i="19"/>
  <c r="B1663" i="19"/>
  <c r="B1662" i="19"/>
  <c r="B1661" i="19"/>
  <c r="B1913" i="19" l="1"/>
  <c r="B1716" i="19"/>
  <c r="C1667" i="19"/>
  <c r="B1666" i="19"/>
  <c r="B1665" i="19"/>
  <c r="B1914" i="19" l="1"/>
  <c r="B1717" i="19"/>
  <c r="B1667" i="19"/>
  <c r="B1915" i="19" l="1"/>
  <c r="C1916" i="19"/>
  <c r="B1718" i="19"/>
  <c r="B1668" i="19"/>
  <c r="B1916" i="19" l="1"/>
  <c r="C1720" i="19"/>
  <c r="B1719" i="19"/>
  <c r="B1669" i="19"/>
  <c r="B1917" i="19" l="1"/>
  <c r="B1720" i="19"/>
  <c r="C1671" i="19"/>
  <c r="B1670" i="19"/>
  <c r="B1918" i="19" l="1"/>
  <c r="B1721" i="19"/>
  <c r="B1671" i="19"/>
  <c r="C1672" i="19"/>
  <c r="B1612" i="19"/>
  <c r="B1919" i="19" l="1"/>
  <c r="C1920" i="19"/>
  <c r="B1722" i="19"/>
  <c r="C1723" i="19"/>
  <c r="B1672" i="19"/>
  <c r="B1920" i="19" l="1"/>
  <c r="B1723" i="19"/>
  <c r="B1673" i="19"/>
  <c r="B1613" i="19"/>
  <c r="B1921" i="19" l="1"/>
  <c r="C1922" i="19"/>
  <c r="C1725" i="19"/>
  <c r="B1724" i="19"/>
  <c r="C1675" i="19"/>
  <c r="B1674" i="19"/>
  <c r="C1615" i="19"/>
  <c r="B1614" i="19"/>
  <c r="C1923" i="19" l="1"/>
  <c r="B1922" i="19"/>
  <c r="B1725" i="19"/>
  <c r="B1675" i="19"/>
  <c r="C1676" i="19"/>
  <c r="B1615" i="19"/>
  <c r="B1924" i="19" l="1"/>
  <c r="B1923" i="19"/>
  <c r="B1726" i="19"/>
  <c r="C1727" i="19"/>
  <c r="C1677" i="19"/>
  <c r="B1676" i="19"/>
  <c r="B1616" i="19"/>
  <c r="C1617" i="19"/>
  <c r="B1727" i="19" l="1"/>
  <c r="C1678" i="19"/>
  <c r="B1677" i="19"/>
  <c r="B1617" i="19"/>
  <c r="H78" i="6"/>
  <c r="B1728" i="19" l="1"/>
  <c r="B1678" i="19"/>
  <c r="C1619" i="19"/>
  <c r="B1618" i="19"/>
  <c r="B1570" i="19"/>
  <c r="C1575" i="19"/>
  <c r="C1576" i="19" s="1"/>
  <c r="C1577" i="19" s="1"/>
  <c r="C1580" i="19" s="1"/>
  <c r="C1589" i="19" s="1"/>
  <c r="C1595" i="19" s="1"/>
  <c r="C1596" i="19" s="1"/>
  <c r="C1597" i="19" s="1"/>
  <c r="C1600" i="19" s="1"/>
  <c r="C1602" i="19" s="1"/>
  <c r="C1605" i="19" s="1"/>
  <c r="C1606" i="19" s="1"/>
  <c r="C1609" i="19" s="1"/>
  <c r="C1610" i="19" s="1"/>
  <c r="B1611" i="19" s="1"/>
  <c r="B1729" i="19" l="1"/>
  <c r="B1679" i="19"/>
  <c r="C1680" i="19"/>
  <c r="C1620" i="19"/>
  <c r="B1619" i="19"/>
  <c r="B1585" i="19"/>
  <c r="B1602" i="19"/>
  <c r="B1576" i="19"/>
  <c r="B1584" i="19"/>
  <c r="B1592" i="19"/>
  <c r="B1600" i="19"/>
  <c r="B1608" i="19"/>
  <c r="B1577" i="19"/>
  <c r="B1593" i="19"/>
  <c r="B1601" i="19"/>
  <c r="B1609" i="19"/>
  <c r="B1578" i="19"/>
  <c r="B1586" i="19"/>
  <c r="B1610" i="19"/>
  <c r="B1571" i="19"/>
  <c r="B1587" i="19"/>
  <c r="B1572" i="19"/>
  <c r="B1573" i="19"/>
  <c r="B1597" i="19"/>
  <c r="B1606" i="19"/>
  <c r="B1594" i="19"/>
  <c r="B1579" i="19"/>
  <c r="B1595" i="19"/>
  <c r="B1603" i="19"/>
  <c r="B1580" i="19"/>
  <c r="B1588" i="19"/>
  <c r="B1596" i="19"/>
  <c r="B1604" i="19"/>
  <c r="B1581" i="19"/>
  <c r="B1589" i="19"/>
  <c r="B1605" i="19"/>
  <c r="B1574" i="19"/>
  <c r="B1582" i="19"/>
  <c r="B1590" i="19"/>
  <c r="B1598" i="19"/>
  <c r="B1575" i="19"/>
  <c r="B1583" i="19"/>
  <c r="B1591" i="19"/>
  <c r="B1599" i="19"/>
  <c r="B1607" i="19"/>
  <c r="B1730" i="19" l="1"/>
  <c r="B1680" i="19"/>
  <c r="B1620" i="19"/>
  <c r="K26" i="24"/>
  <c r="U26" i="24" s="1"/>
  <c r="K48" i="24" l="1"/>
  <c r="B1731" i="19"/>
  <c r="C1732" i="19"/>
  <c r="C1682" i="19"/>
  <c r="B1681" i="19"/>
  <c r="K27" i="24"/>
  <c r="C1622" i="19"/>
  <c r="B1621" i="19"/>
  <c r="C1733" i="19" l="1"/>
  <c r="B1732" i="19"/>
  <c r="B1682" i="19"/>
  <c r="B1622" i="19"/>
  <c r="M49" i="3"/>
  <c r="B1733" i="19" l="1"/>
  <c r="B1683" i="19"/>
  <c r="B1623" i="19"/>
  <c r="M48" i="3"/>
  <c r="B1734" i="19" l="1"/>
  <c r="B1684" i="19"/>
  <c r="B1624" i="19"/>
  <c r="M51" i="3"/>
  <c r="B1568" i="19"/>
  <c r="C1525" i="19"/>
  <c r="C1526" i="19" s="1"/>
  <c r="B1526" i="19" s="1"/>
  <c r="B1735" i="19" l="1"/>
  <c r="C1736" i="19"/>
  <c r="C1686" i="19"/>
  <c r="B1685" i="19"/>
  <c r="B1625" i="19"/>
  <c r="C1626" i="19"/>
  <c r="B1525" i="19"/>
  <c r="B1736" i="19" l="1"/>
  <c r="B1686" i="19"/>
  <c r="B1626" i="19"/>
  <c r="C1528" i="19"/>
  <c r="B1527" i="19"/>
  <c r="B1737" i="19" l="1"/>
  <c r="B1687" i="19"/>
  <c r="C1688" i="19"/>
  <c r="B1627" i="19"/>
  <c r="C1628" i="19"/>
  <c r="C1529" i="19"/>
  <c r="B1528" i="19"/>
  <c r="B1738" i="19" l="1"/>
  <c r="C1689" i="19"/>
  <c r="B1688" i="19"/>
  <c r="B1628" i="19"/>
  <c r="B1529" i="19"/>
  <c r="B1739" i="19" l="1"/>
  <c r="C1740" i="19"/>
  <c r="B1689" i="19"/>
  <c r="B1629" i="19"/>
  <c r="B1530" i="19"/>
  <c r="B1504" i="19"/>
  <c r="C1505" i="19"/>
  <c r="B1740" i="19" l="1"/>
  <c r="B1690" i="19"/>
  <c r="B1630" i="19"/>
  <c r="B1531" i="19"/>
  <c r="B1505" i="19"/>
  <c r="D157" i="6"/>
  <c r="C1742" i="19" l="1"/>
  <c r="B1741" i="19"/>
  <c r="B1691" i="19"/>
  <c r="B1631" i="19"/>
  <c r="B1532" i="19"/>
  <c r="C1533" i="19"/>
  <c r="B1506" i="19"/>
  <c r="C1507" i="19"/>
  <c r="B1498" i="19"/>
  <c r="B1497" i="19"/>
  <c r="B1494" i="19"/>
  <c r="B1492" i="19"/>
  <c r="B1491" i="19"/>
  <c r="B1490" i="19"/>
  <c r="B1486" i="19"/>
  <c r="B1484" i="19"/>
  <c r="B1481" i="19"/>
  <c r="B1479" i="19"/>
  <c r="B1478" i="19"/>
  <c r="B1476" i="19"/>
  <c r="B1474" i="19"/>
  <c r="B1473" i="19"/>
  <c r="B1472" i="19"/>
  <c r="B1471" i="19"/>
  <c r="B1469" i="19"/>
  <c r="B1468" i="19"/>
  <c r="B1467" i="19"/>
  <c r="B1466" i="19"/>
  <c r="B1465" i="19"/>
  <c r="B1464" i="19"/>
  <c r="B1463" i="19"/>
  <c r="B1462" i="19"/>
  <c r="B1461" i="19"/>
  <c r="B1460" i="19"/>
  <c r="B1459" i="19"/>
  <c r="B1458" i="19"/>
  <c r="B1457" i="19"/>
  <c r="C1499" i="19"/>
  <c r="C1502" i="19" s="1"/>
  <c r="C1495" i="19"/>
  <c r="C1496" i="19" s="1"/>
  <c r="B1496" i="19" s="1"/>
  <c r="C1493" i="19"/>
  <c r="B1493" i="19" s="1"/>
  <c r="C1487" i="19"/>
  <c r="C1488" i="19" s="1"/>
  <c r="C1489" i="19" s="1"/>
  <c r="B1489" i="19" s="1"/>
  <c r="C1485" i="19"/>
  <c r="B1485" i="19" s="1"/>
  <c r="C1482" i="19"/>
  <c r="C1483" i="19" s="1"/>
  <c r="B1483" i="19" s="1"/>
  <c r="C1480" i="19"/>
  <c r="B1480" i="19" s="1"/>
  <c r="C1477" i="19"/>
  <c r="B1477" i="19" s="1"/>
  <c r="C1475" i="19"/>
  <c r="B1475" i="19" s="1"/>
  <c r="C1470" i="19"/>
  <c r="B1470" i="19" s="1"/>
  <c r="B1742" i="19" l="1"/>
  <c r="B1692" i="19"/>
  <c r="B1632" i="19"/>
  <c r="B1533" i="19"/>
  <c r="B1502" i="19"/>
  <c r="C1503" i="19"/>
  <c r="B1503" i="19" s="1"/>
  <c r="B1507" i="19"/>
  <c r="B1482" i="19"/>
  <c r="B1488" i="19"/>
  <c r="B1499" i="19"/>
  <c r="B1500" i="19"/>
  <c r="B1501" i="19"/>
  <c r="B1487" i="19"/>
  <c r="B1495" i="19"/>
  <c r="L60" i="3"/>
  <c r="B1743" i="19" l="1"/>
  <c r="C1694" i="19"/>
  <c r="B1693" i="19"/>
  <c r="B1633" i="19"/>
  <c r="B1534" i="19"/>
  <c r="B1508" i="19"/>
  <c r="C1745" i="19" l="1"/>
  <c r="B1744" i="19"/>
  <c r="C1695" i="19"/>
  <c r="B1694" i="19"/>
  <c r="C1635" i="19"/>
  <c r="B1634" i="19"/>
  <c r="C1536" i="19"/>
  <c r="B1535" i="19"/>
  <c r="B1509" i="19"/>
  <c r="C1510" i="19"/>
  <c r="B1745" i="19" l="1"/>
  <c r="B1695" i="19"/>
  <c r="C1696" i="19"/>
  <c r="B1635" i="19"/>
  <c r="C1537" i="19"/>
  <c r="B1536" i="19"/>
  <c r="B1510" i="19"/>
  <c r="K587" i="19"/>
  <c r="B1440" i="19"/>
  <c r="B1439" i="19"/>
  <c r="B1433" i="19"/>
  <c r="B1434" i="19"/>
  <c r="B1435" i="19"/>
  <c r="B1436" i="19"/>
  <c r="B1437" i="19"/>
  <c r="B1438" i="19"/>
  <c r="B1441" i="19"/>
  <c r="B1442" i="19"/>
  <c r="B1443" i="19"/>
  <c r="B1444" i="19"/>
  <c r="B1445" i="19"/>
  <c r="B1446" i="19"/>
  <c r="B1447" i="19"/>
  <c r="B1448" i="19"/>
  <c r="B1449" i="19"/>
  <c r="B1450" i="19"/>
  <c r="B1451" i="19"/>
  <c r="B1452" i="19"/>
  <c r="B1453" i="19"/>
  <c r="B1454" i="19"/>
  <c r="B1455" i="19"/>
  <c r="B1746" i="19" l="1"/>
  <c r="C1747" i="19"/>
  <c r="B1696" i="19"/>
  <c r="B1636" i="19"/>
  <c r="C1637" i="19"/>
  <c r="B1537" i="19"/>
  <c r="B1511" i="19"/>
  <c r="C1512" i="19"/>
  <c r="J16" i="12"/>
  <c r="M14" i="33" s="1"/>
  <c r="M14" i="24" l="1"/>
  <c r="B1747" i="19"/>
  <c r="C1748" i="19"/>
  <c r="B1697" i="19"/>
  <c r="B1637" i="19"/>
  <c r="B1538" i="19"/>
  <c r="B1512" i="19"/>
  <c r="H12" i="6"/>
  <c r="H11" i="6"/>
  <c r="B1748" i="19" l="1"/>
  <c r="C1699" i="19"/>
  <c r="B1698" i="19"/>
  <c r="B1638" i="19"/>
  <c r="B1539" i="19"/>
  <c r="B1513" i="19"/>
  <c r="H58" i="26"/>
  <c r="I58" i="26" s="1"/>
  <c r="H53" i="26"/>
  <c r="I53" i="26" s="1"/>
  <c r="L53" i="26" s="1"/>
  <c r="M53" i="26" s="1"/>
  <c r="I52" i="26"/>
  <c r="L52" i="26" s="1"/>
  <c r="M52" i="26" s="1"/>
  <c r="I51" i="26"/>
  <c r="L51" i="26" s="1"/>
  <c r="M51" i="26" s="1"/>
  <c r="I50" i="26"/>
  <c r="L50" i="26" s="1"/>
  <c r="M50" i="26" s="1"/>
  <c r="I49" i="26"/>
  <c r="L49" i="26" s="1"/>
  <c r="M49" i="26" s="1"/>
  <c r="I48" i="26"/>
  <c r="L48" i="26" s="1"/>
  <c r="M48" i="26" s="1"/>
  <c r="I47" i="26"/>
  <c r="L47" i="26" s="1"/>
  <c r="M47" i="26" s="1"/>
  <c r="I46" i="26"/>
  <c r="L46" i="26" s="1"/>
  <c r="M46" i="26" s="1"/>
  <c r="I45" i="26"/>
  <c r="L45" i="26" s="1"/>
  <c r="M45" i="26" s="1"/>
  <c r="H44" i="26"/>
  <c r="I44" i="26" s="1"/>
  <c r="H43" i="26"/>
  <c r="I43" i="26" s="1"/>
  <c r="L43" i="26" s="1"/>
  <c r="M43" i="26" s="1"/>
  <c r="H42" i="26"/>
  <c r="I42" i="26" s="1"/>
  <c r="L42" i="26" s="1"/>
  <c r="M42" i="26" s="1"/>
  <c r="I41" i="26"/>
  <c r="L41" i="26" s="1"/>
  <c r="M41" i="26" s="1"/>
  <c r="H40" i="26"/>
  <c r="I40" i="26" s="1"/>
  <c r="L40" i="26" s="1"/>
  <c r="M40" i="26" s="1"/>
  <c r="I39" i="26"/>
  <c r="L39" i="26" s="1"/>
  <c r="M39" i="26" s="1"/>
  <c r="I38" i="26"/>
  <c r="L38" i="26" s="1"/>
  <c r="M38" i="26" s="1"/>
  <c r="H37" i="26"/>
  <c r="I37" i="26" s="1"/>
  <c r="L37" i="26" s="1"/>
  <c r="M37" i="26" s="1"/>
  <c r="I36" i="26"/>
  <c r="L36" i="26" s="1"/>
  <c r="M36" i="26" s="1"/>
  <c r="H35" i="26"/>
  <c r="I35" i="26" s="1"/>
  <c r="L35" i="26" s="1"/>
  <c r="M35" i="26" s="1"/>
  <c r="H34" i="26"/>
  <c r="I34" i="26" s="1"/>
  <c r="L34" i="26" s="1"/>
  <c r="M34" i="26" s="1"/>
  <c r="G33" i="26"/>
  <c r="I33" i="26" s="1"/>
  <c r="I32" i="26"/>
  <c r="L32" i="26" s="1"/>
  <c r="H27" i="26"/>
  <c r="I27" i="26" s="1"/>
  <c r="L27" i="26" s="1"/>
  <c r="G27" i="26"/>
  <c r="G26" i="26"/>
  <c r="G28" i="26" s="1"/>
  <c r="I28" i="26" s="1"/>
  <c r="H25" i="26"/>
  <c r="I25" i="26" s="1"/>
  <c r="I23" i="26"/>
  <c r="L23" i="26" s="1"/>
  <c r="I22" i="26"/>
  <c r="L22" i="26" s="1"/>
  <c r="G21" i="26"/>
  <c r="H21" i="26" s="1"/>
  <c r="K20" i="26"/>
  <c r="K29" i="26" s="1"/>
  <c r="G20" i="26"/>
  <c r="I19" i="26"/>
  <c r="L19" i="26" s="1"/>
  <c r="I18" i="26"/>
  <c r="M18" i="26" s="1"/>
  <c r="H17" i="26"/>
  <c r="I17" i="26" s="1"/>
  <c r="L17" i="26" s="1"/>
  <c r="I16" i="26"/>
  <c r="L16" i="26" s="1"/>
  <c r="H15" i="26"/>
  <c r="I15" i="26" s="1"/>
  <c r="I14" i="26"/>
  <c r="L14" i="26" s="1"/>
  <c r="H13" i="26"/>
  <c r="I13" i="26" s="1"/>
  <c r="I11" i="26"/>
  <c r="I10" i="26"/>
  <c r="M10" i="26" s="1"/>
  <c r="I9" i="26"/>
  <c r="L9" i="26" s="1"/>
  <c r="I8" i="26"/>
  <c r="M16" i="26" l="1"/>
  <c r="M9" i="26"/>
  <c r="G29" i="26"/>
  <c r="H26" i="26"/>
  <c r="I26" i="26" s="1"/>
  <c r="M26" i="26" s="1"/>
  <c r="M14" i="26"/>
  <c r="B1749" i="19"/>
  <c r="B1699" i="19"/>
  <c r="C1700" i="19"/>
  <c r="M27" i="26"/>
  <c r="B1639" i="19"/>
  <c r="B1540" i="19"/>
  <c r="C1541" i="19"/>
  <c r="B1514" i="19"/>
  <c r="H54" i="26"/>
  <c r="H20" i="26"/>
  <c r="I20" i="26" s="1"/>
  <c r="I21" i="26"/>
  <c r="M15" i="26"/>
  <c r="L15" i="26"/>
  <c r="M13" i="26"/>
  <c r="L13" i="26"/>
  <c r="M25" i="26"/>
  <c r="L25" i="26"/>
  <c r="M32" i="26"/>
  <c r="M28" i="26"/>
  <c r="L28" i="26"/>
  <c r="I54" i="26"/>
  <c r="L33" i="26"/>
  <c r="M33" i="26" s="1"/>
  <c r="K44" i="26"/>
  <c r="K54" i="26" s="1"/>
  <c r="K56" i="26" s="1"/>
  <c r="K60" i="26" s="1"/>
  <c r="L10" i="26"/>
  <c r="M17" i="26"/>
  <c r="L8" i="26"/>
  <c r="L18" i="26"/>
  <c r="M8" i="26"/>
  <c r="H12" i="26"/>
  <c r="G54" i="26"/>
  <c r="G56" i="26" s="1"/>
  <c r="H24" i="26"/>
  <c r="I24" i="26" s="1"/>
  <c r="B1432" i="19"/>
  <c r="B1431" i="19"/>
  <c r="B1430" i="19"/>
  <c r="B1429" i="19"/>
  <c r="B1428" i="19"/>
  <c r="B1427" i="19"/>
  <c r="B1426" i="19"/>
  <c r="B1425" i="19"/>
  <c r="B1424" i="19"/>
  <c r="B1423" i="19"/>
  <c r="B1422" i="19"/>
  <c r="B1421" i="19"/>
  <c r="B1420" i="19"/>
  <c r="B1419" i="19"/>
  <c r="B1418" i="19"/>
  <c r="B1417" i="19"/>
  <c r="B1416" i="19"/>
  <c r="B1415" i="19"/>
  <c r="B1414" i="19"/>
  <c r="B1413" i="19"/>
  <c r="B1412" i="19"/>
  <c r="B1411" i="19"/>
  <c r="B1410" i="19"/>
  <c r="B1409" i="19"/>
  <c r="B1408" i="19"/>
  <c r="B1407" i="19"/>
  <c r="B1406" i="19"/>
  <c r="B1405" i="19"/>
  <c r="B1404" i="19"/>
  <c r="B1403" i="19"/>
  <c r="B1402" i="19"/>
  <c r="B1401" i="19"/>
  <c r="B1400" i="19"/>
  <c r="B1399" i="19"/>
  <c r="B1398" i="19"/>
  <c r="B1397" i="19"/>
  <c r="B1396" i="19"/>
  <c r="B1395" i="19"/>
  <c r="B1394" i="19"/>
  <c r="B1393" i="19"/>
  <c r="B1392" i="19"/>
  <c r="B1391" i="19"/>
  <c r="B1390" i="19"/>
  <c r="B1389" i="19"/>
  <c r="B1388" i="19"/>
  <c r="B1387" i="19"/>
  <c r="B1386" i="19"/>
  <c r="B1385" i="19"/>
  <c r="B1384" i="19"/>
  <c r="B1383" i="19"/>
  <c r="B1382" i="19"/>
  <c r="B1381" i="19"/>
  <c r="B1380" i="19"/>
  <c r="B1379" i="19"/>
  <c r="B1378" i="19"/>
  <c r="B1377" i="19"/>
  <c r="B1376" i="19"/>
  <c r="B1375" i="19"/>
  <c r="B1374" i="19"/>
  <c r="B1373" i="19"/>
  <c r="B1372" i="19"/>
  <c r="B1371" i="19"/>
  <c r="B1370" i="19"/>
  <c r="B1369" i="19"/>
  <c r="B1368" i="19"/>
  <c r="B1367" i="19"/>
  <c r="B1366" i="19"/>
  <c r="B1365" i="19"/>
  <c r="B1364" i="19"/>
  <c r="B1363" i="19"/>
  <c r="B1362" i="19"/>
  <c r="B1361" i="19"/>
  <c r="B1360" i="19"/>
  <c r="B1359" i="19"/>
  <c r="B1358" i="19"/>
  <c r="B1357" i="19"/>
  <c r="B1356" i="19"/>
  <c r="B1355" i="19"/>
  <c r="B1354" i="19"/>
  <c r="B1353" i="19"/>
  <c r="B1352" i="19"/>
  <c r="B1351" i="19"/>
  <c r="B1350" i="19"/>
  <c r="L26" i="26" l="1"/>
  <c r="B1750" i="19"/>
  <c r="C1751" i="19"/>
  <c r="B1700" i="19"/>
  <c r="B1640" i="19"/>
  <c r="B1541" i="19"/>
  <c r="B1515" i="19"/>
  <c r="M20" i="26"/>
  <c r="L20" i="26"/>
  <c r="I12" i="26"/>
  <c r="H29" i="26"/>
  <c r="H56" i="26" s="1"/>
  <c r="H60" i="26" s="1"/>
  <c r="L44" i="26"/>
  <c r="L54" i="26" s="1"/>
  <c r="M54" i="26" s="1"/>
  <c r="L24" i="26"/>
  <c r="M24" i="26"/>
  <c r="L21" i="26"/>
  <c r="M21" i="26"/>
  <c r="G60" i="26"/>
  <c r="B1751" i="19" l="1"/>
  <c r="B1701" i="19"/>
  <c r="B1641" i="19"/>
  <c r="C1642" i="19"/>
  <c r="B1542" i="19"/>
  <c r="C1543" i="19"/>
  <c r="B1516" i="19"/>
  <c r="I56" i="26"/>
  <c r="L12" i="26"/>
  <c r="L29" i="26" s="1"/>
  <c r="M29" i="26" s="1"/>
  <c r="M12" i="26"/>
  <c r="I29" i="26"/>
  <c r="B1752" i="19" l="1"/>
  <c r="B1702" i="19"/>
  <c r="B1642" i="19"/>
  <c r="B1543" i="19"/>
  <c r="B1517" i="19"/>
  <c r="C1518" i="19"/>
  <c r="I60" i="26"/>
  <c r="L56" i="26"/>
  <c r="M56" i="26" s="1"/>
  <c r="B1753" i="19" l="1"/>
  <c r="B1703" i="19"/>
  <c r="B1643" i="19"/>
  <c r="C1545" i="19"/>
  <c r="B1544" i="19"/>
  <c r="B1518" i="19"/>
  <c r="B1754" i="19" l="1"/>
  <c r="C1755" i="19"/>
  <c r="B1704" i="19"/>
  <c r="C1705" i="19"/>
  <c r="B1644" i="19"/>
  <c r="B1545" i="19"/>
  <c r="C1546" i="19"/>
  <c r="B1519" i="19"/>
  <c r="D109" i="15"/>
  <c r="D113" i="15" l="1"/>
  <c r="B1755" i="19"/>
  <c r="B1705" i="19"/>
  <c r="B1645" i="19"/>
  <c r="C1646" i="19"/>
  <c r="B1546" i="19"/>
  <c r="B1520" i="19"/>
  <c r="B1349" i="19"/>
  <c r="B1348" i="19"/>
  <c r="B1347" i="19"/>
  <c r="B1346" i="19"/>
  <c r="B1345" i="19"/>
  <c r="B1344" i="19"/>
  <c r="B1343" i="19"/>
  <c r="B1342" i="19"/>
  <c r="B1341" i="19"/>
  <c r="B1340" i="19"/>
  <c r="B1339" i="19"/>
  <c r="B1338" i="19"/>
  <c r="B1337" i="19"/>
  <c r="B1336" i="19"/>
  <c r="B1335" i="19"/>
  <c r="B1334" i="19"/>
  <c r="B1333" i="19"/>
  <c r="B1332" i="19"/>
  <c r="B1331" i="19"/>
  <c r="B1330" i="19"/>
  <c r="B1329" i="19"/>
  <c r="B1328" i="19"/>
  <c r="B1327" i="19"/>
  <c r="B1326" i="19"/>
  <c r="B1325" i="19"/>
  <c r="B1324" i="19"/>
  <c r="B1323" i="19"/>
  <c r="B1322" i="19"/>
  <c r="B1321" i="19"/>
  <c r="B1320" i="19"/>
  <c r="B1319" i="19"/>
  <c r="B1318" i="19"/>
  <c r="B1317" i="19"/>
  <c r="B1316" i="19"/>
  <c r="B1315" i="19"/>
  <c r="B1314" i="19"/>
  <c r="B1313" i="19"/>
  <c r="B1312" i="19"/>
  <c r="B1311" i="19"/>
  <c r="B1310" i="19"/>
  <c r="B1309" i="19"/>
  <c r="B1308" i="19"/>
  <c r="B1307" i="19"/>
  <c r="B1306" i="19"/>
  <c r="B1305" i="19"/>
  <c r="B1304" i="19"/>
  <c r="B1303" i="19"/>
  <c r="B1302" i="19"/>
  <c r="B1301" i="19"/>
  <c r="B1300" i="19"/>
  <c r="B1299" i="19"/>
  <c r="B1298" i="19"/>
  <c r="B1297" i="19"/>
  <c r="B1296" i="19"/>
  <c r="B1295" i="19"/>
  <c r="B1294" i="19"/>
  <c r="B1293" i="19"/>
  <c r="B1292" i="19"/>
  <c r="B1291" i="19"/>
  <c r="B1290" i="19"/>
  <c r="B1289" i="19"/>
  <c r="B1288" i="19"/>
  <c r="B1287" i="19"/>
  <c r="B1286" i="19"/>
  <c r="B1285" i="19"/>
  <c r="B1284" i="19"/>
  <c r="B1283" i="19"/>
  <c r="B1282" i="19"/>
  <c r="B1281" i="19"/>
  <c r="B1280" i="19"/>
  <c r="B1279" i="19"/>
  <c r="B1278" i="19"/>
  <c r="B1277" i="19"/>
  <c r="B1276" i="19"/>
  <c r="B1275" i="19"/>
  <c r="B1274" i="19"/>
  <c r="B1273" i="19"/>
  <c r="B1272" i="19"/>
  <c r="B1271" i="19"/>
  <c r="B1270" i="19"/>
  <c r="B1269" i="19"/>
  <c r="B1268" i="19"/>
  <c r="B1267" i="19"/>
  <c r="B1266" i="19"/>
  <c r="B1265" i="19"/>
  <c r="B1264" i="19"/>
  <c r="B1263" i="19"/>
  <c r="B1262" i="19"/>
  <c r="B1261" i="19"/>
  <c r="C1757" i="19" l="1"/>
  <c r="B1756" i="19"/>
  <c r="C1707" i="19"/>
  <c r="B1706" i="19"/>
  <c r="B1646" i="19"/>
  <c r="B1547" i="19"/>
  <c r="C1548" i="19"/>
  <c r="C1522" i="19"/>
  <c r="B1521" i="19"/>
  <c r="K59" i="24"/>
  <c r="B1757" i="19" l="1"/>
  <c r="B1707" i="19"/>
  <c r="B1647" i="19"/>
  <c r="B1548" i="19"/>
  <c r="B1522" i="19"/>
  <c r="B1758" i="19" l="1"/>
  <c r="B1708" i="19"/>
  <c r="B1648" i="19"/>
  <c r="B1549" i="19"/>
  <c r="C1550" i="19"/>
  <c r="B1524" i="19"/>
  <c r="B1523" i="19"/>
  <c r="H68" i="3"/>
  <c r="N64" i="3"/>
  <c r="H64" i="3"/>
  <c r="G64" i="3"/>
  <c r="M60" i="3"/>
  <c r="L59" i="3"/>
  <c r="M59" i="3" s="1"/>
  <c r="L58" i="3"/>
  <c r="M58" i="3" s="1"/>
  <c r="I56" i="3"/>
  <c r="L56" i="3" s="1"/>
  <c r="J38" i="3"/>
  <c r="K38" i="3" s="1"/>
  <c r="K44" i="3" s="1"/>
  <c r="G38" i="3"/>
  <c r="G44" i="3" s="1"/>
  <c r="J25" i="3"/>
  <c r="L25" i="3" s="1"/>
  <c r="J23" i="3"/>
  <c r="L23" i="3" s="1"/>
  <c r="J22" i="3"/>
  <c r="L17" i="3"/>
  <c r="J44" i="3" l="1"/>
  <c r="B1759" i="19"/>
  <c r="B1709" i="19"/>
  <c r="C1650" i="19"/>
  <c r="B1649" i="19"/>
  <c r="B1550" i="19"/>
  <c r="L22" i="3"/>
  <c r="J68" i="3"/>
  <c r="B1260" i="19"/>
  <c r="B1259" i="19"/>
  <c r="B1258" i="19"/>
  <c r="B1257" i="19"/>
  <c r="B1256" i="19"/>
  <c r="B1255" i="19"/>
  <c r="B1254" i="19"/>
  <c r="B1253" i="19"/>
  <c r="B1252" i="19"/>
  <c r="B1251" i="19"/>
  <c r="B1250" i="19"/>
  <c r="B1249" i="19"/>
  <c r="B1248" i="19"/>
  <c r="B1247" i="19"/>
  <c r="B1246" i="19"/>
  <c r="B1245" i="19"/>
  <c r="L44" i="3" l="1"/>
  <c r="M44" i="3" s="1"/>
  <c r="B1760" i="19"/>
  <c r="B1650" i="19"/>
  <c r="C1552" i="19"/>
  <c r="B1551" i="19"/>
  <c r="H49" i="5" l="1"/>
  <c r="Q49" i="5" s="1"/>
  <c r="B1761" i="19"/>
  <c r="B1711" i="19"/>
  <c r="B1651" i="19"/>
  <c r="B1552" i="19"/>
  <c r="G96" i="15"/>
  <c r="F96" i="15"/>
  <c r="B1244" i="19"/>
  <c r="B1243" i="19"/>
  <c r="B1242" i="19"/>
  <c r="B1241" i="19"/>
  <c r="B1240" i="19"/>
  <c r="B1239" i="19"/>
  <c r="B1238" i="19"/>
  <c r="B1237" i="19"/>
  <c r="B1236" i="19"/>
  <c r="B1235" i="19"/>
  <c r="B1234" i="19"/>
  <c r="B1233" i="19"/>
  <c r="B1232" i="19"/>
  <c r="B1231" i="19"/>
  <c r="B1230" i="19"/>
  <c r="B1229" i="19"/>
  <c r="B1228" i="19"/>
  <c r="B1227" i="19"/>
  <c r="B1226" i="19"/>
  <c r="B1225" i="19"/>
  <c r="B1224" i="19"/>
  <c r="B1223" i="19"/>
  <c r="B1222" i="19"/>
  <c r="B1221" i="19"/>
  <c r="B1220" i="19"/>
  <c r="B1219" i="19"/>
  <c r="B1218" i="19"/>
  <c r="B1217" i="19"/>
  <c r="B1216" i="19"/>
  <c r="B1215" i="19"/>
  <c r="B1214" i="19"/>
  <c r="B1213" i="19"/>
  <c r="B1212" i="19"/>
  <c r="B1211" i="19"/>
  <c r="B1210" i="19"/>
  <c r="B1209" i="19"/>
  <c r="B1208" i="19"/>
  <c r="B1207" i="19"/>
  <c r="B1206" i="19"/>
  <c r="B1205" i="19"/>
  <c r="B1204" i="19"/>
  <c r="B1203" i="19"/>
  <c r="B1202" i="19"/>
  <c r="B1201" i="19"/>
  <c r="B1200" i="19"/>
  <c r="B1199" i="19"/>
  <c r="B1198" i="19"/>
  <c r="B1197" i="19"/>
  <c r="B1196" i="19"/>
  <c r="B1195" i="19"/>
  <c r="B1194" i="19"/>
  <c r="B1193" i="19"/>
  <c r="B1192" i="19"/>
  <c r="B1191" i="19"/>
  <c r="B1190" i="19"/>
  <c r="B1189" i="19"/>
  <c r="B1188" i="19"/>
  <c r="B1187" i="19"/>
  <c r="B1186" i="19"/>
  <c r="B1185" i="19"/>
  <c r="B1184" i="19"/>
  <c r="B1183" i="19"/>
  <c r="B1182" i="19"/>
  <c r="B1181" i="19"/>
  <c r="B1180" i="19"/>
  <c r="B1762" i="19" l="1"/>
  <c r="B1652" i="19"/>
  <c r="B1553" i="19"/>
  <c r="J26" i="24"/>
  <c r="J9" i="24"/>
  <c r="U9" i="24" l="1"/>
  <c r="U69" i="24" s="1"/>
  <c r="R9" i="24"/>
  <c r="Q9" i="24"/>
  <c r="J48" i="24"/>
  <c r="R26" i="24"/>
  <c r="Q26" i="24"/>
  <c r="X9" i="24"/>
  <c r="X26" i="24"/>
  <c r="Y26" i="24" s="1"/>
  <c r="B1763" i="19"/>
  <c r="B1653" i="19"/>
  <c r="B1554" i="19"/>
  <c r="C1555" i="19"/>
  <c r="M59" i="24"/>
  <c r="U27" i="24" l="1"/>
  <c r="U30" i="24" s="1"/>
  <c r="R48" i="24"/>
  <c r="Q48" i="24"/>
  <c r="J55" i="24"/>
  <c r="U48" i="24"/>
  <c r="U55" i="24" s="1"/>
  <c r="X48" i="24"/>
  <c r="Y9" i="24"/>
  <c r="Y69" i="24" s="1"/>
  <c r="X69" i="24"/>
  <c r="C1765" i="19"/>
  <c r="C1766" i="19" s="1"/>
  <c r="C1767" i="19" s="1"/>
  <c r="C1768" i="19" s="1"/>
  <c r="C1771" i="19" s="1"/>
  <c r="C1772" i="19" s="1"/>
  <c r="C1774" i="19" s="1"/>
  <c r="C1777" i="19" s="1"/>
  <c r="C1778" i="19" s="1"/>
  <c r="C1781" i="19" s="1"/>
  <c r="C1784" i="19" s="1"/>
  <c r="C1785" i="19" s="1"/>
  <c r="C1791" i="19" s="1"/>
  <c r="C1792" i="19" s="1"/>
  <c r="C1794" i="19" s="1"/>
  <c r="C1795" i="19" s="1"/>
  <c r="C1797" i="19" s="1"/>
  <c r="C1798" i="19" s="1"/>
  <c r="C1799" i="19" s="1"/>
  <c r="C1802" i="19" s="1"/>
  <c r="B1764" i="19"/>
  <c r="B1654" i="19"/>
  <c r="C1655" i="19"/>
  <c r="K55" i="24"/>
  <c r="B1555" i="19"/>
  <c r="K30" i="24"/>
  <c r="J69" i="24"/>
  <c r="AB55" i="24" l="1"/>
  <c r="R55" i="24"/>
  <c r="Q55" i="24"/>
  <c r="U66" i="24"/>
  <c r="U63" i="24"/>
  <c r="U56" i="24"/>
  <c r="U60" i="24" s="1"/>
  <c r="Y48" i="24"/>
  <c r="X55" i="24"/>
  <c r="J63" i="24"/>
  <c r="J66" i="24"/>
  <c r="K63" i="24"/>
  <c r="K66" i="24"/>
  <c r="B1802" i="19"/>
  <c r="B1765" i="19"/>
  <c r="B1655" i="19"/>
  <c r="C1656" i="19"/>
  <c r="K56" i="24"/>
  <c r="B1556" i="19"/>
  <c r="AB48" i="24" l="1"/>
  <c r="Y66" i="24"/>
  <c r="Y63" i="24"/>
  <c r="X63" i="24"/>
  <c r="X66" i="24"/>
  <c r="C1804" i="19"/>
  <c r="B1803" i="19"/>
  <c r="K60" i="24"/>
  <c r="B1766" i="19"/>
  <c r="B1656" i="19"/>
  <c r="B1557" i="19"/>
  <c r="C1558" i="19"/>
  <c r="F108" i="15"/>
  <c r="F109" i="15"/>
  <c r="E109" i="15"/>
  <c r="E108" i="15"/>
  <c r="F102" i="15"/>
  <c r="D102" i="15"/>
  <c r="G108" i="15" l="1"/>
  <c r="G109" i="15"/>
  <c r="E113" i="15"/>
  <c r="B1804" i="19"/>
  <c r="B1767" i="19"/>
  <c r="B1657" i="19"/>
  <c r="B1558" i="19"/>
  <c r="C1559" i="19"/>
  <c r="B1145" i="19"/>
  <c r="B1144" i="19"/>
  <c r="B1142" i="19"/>
  <c r="B1139" i="19"/>
  <c r="B1135" i="19"/>
  <c r="B1134" i="19"/>
  <c r="D1136" i="19"/>
  <c r="D1137" i="19" s="1"/>
  <c r="D1138" i="19" s="1"/>
  <c r="D1140" i="19" s="1"/>
  <c r="D1141" i="19" s="1"/>
  <c r="D1143" i="19" s="1"/>
  <c r="D1147" i="19" s="1"/>
  <c r="D1149" i="19" s="1"/>
  <c r="D1150" i="19" s="1"/>
  <c r="D1151" i="19" s="1"/>
  <c r="D1153" i="19" s="1"/>
  <c r="D1154" i="19" s="1"/>
  <c r="D1157" i="19" s="1"/>
  <c r="D1158" i="19" s="1"/>
  <c r="D1159" i="19" s="1"/>
  <c r="D1160" i="19" s="1"/>
  <c r="D1161" i="19" s="1"/>
  <c r="D1164" i="19" s="1"/>
  <c r="D1166" i="19" s="1"/>
  <c r="D1167" i="19" s="1"/>
  <c r="D1168" i="19" s="1"/>
  <c r="D1169" i="19" s="1"/>
  <c r="D1170" i="19" s="1"/>
  <c r="D1171" i="19" s="1"/>
  <c r="D1175" i="19" s="1"/>
  <c r="D1176" i="19" s="1"/>
  <c r="D1177" i="19" s="1"/>
  <c r="D1178" i="19" s="1"/>
  <c r="D1179" i="19" s="1"/>
  <c r="B1179" i="19" s="1"/>
  <c r="C1161" i="19"/>
  <c r="C1162" i="19" s="1"/>
  <c r="C1165" i="19" s="1"/>
  <c r="C1166" i="19" s="1"/>
  <c r="C1169" i="19" s="1"/>
  <c r="C1170" i="19" s="1"/>
  <c r="C1175" i="19" s="1"/>
  <c r="C1159" i="19"/>
  <c r="B1805" i="19" l="1"/>
  <c r="B1768" i="19"/>
  <c r="B1658" i="19"/>
  <c r="B1559" i="19"/>
  <c r="B1141" i="19"/>
  <c r="B1140" i="19"/>
  <c r="B1143" i="19"/>
  <c r="B1136" i="19"/>
  <c r="B1137" i="19"/>
  <c r="B1138" i="19"/>
  <c r="B1165" i="19"/>
  <c r="B1174" i="19"/>
  <c r="B1176" i="19"/>
  <c r="B1148" i="19"/>
  <c r="B1164" i="19"/>
  <c r="B1173" i="19"/>
  <c r="B1166" i="19"/>
  <c r="B1167" i="19"/>
  <c r="B1152" i="19"/>
  <c r="B1160" i="19"/>
  <c r="B1153" i="19"/>
  <c r="B1177" i="19"/>
  <c r="B1172" i="19"/>
  <c r="B1149" i="19"/>
  <c r="B1151" i="19"/>
  <c r="B1175" i="19"/>
  <c r="B1168" i="19"/>
  <c r="B1161" i="19"/>
  <c r="B1146" i="19"/>
  <c r="B1154" i="19"/>
  <c r="B1162" i="19"/>
  <c r="B1170" i="19"/>
  <c r="B1178" i="19"/>
  <c r="B1156" i="19"/>
  <c r="B1157" i="19"/>
  <c r="B1150" i="19"/>
  <c r="B1158" i="19"/>
  <c r="B1159" i="19"/>
  <c r="B1169" i="19"/>
  <c r="B1147" i="19"/>
  <c r="B1155" i="19"/>
  <c r="B1163" i="19"/>
  <c r="B1171" i="19"/>
  <c r="B1806" i="19" l="1"/>
  <c r="B1769" i="19"/>
  <c r="B1659" i="19"/>
  <c r="B1560" i="19"/>
  <c r="J46" i="12"/>
  <c r="J26" i="12"/>
  <c r="M26" i="33" s="1"/>
  <c r="M43" i="33" l="1"/>
  <c r="M56" i="33" s="1"/>
  <c r="M27" i="33"/>
  <c r="M30" i="33" s="1"/>
  <c r="B1807" i="19"/>
  <c r="B1770" i="19"/>
  <c r="M26" i="24"/>
  <c r="B1561" i="19"/>
  <c r="C1562" i="19"/>
  <c r="M57" i="33" l="1"/>
  <c r="M61" i="33" s="1"/>
  <c r="M67" i="33"/>
  <c r="M64" i="33"/>
  <c r="M48" i="24"/>
  <c r="M55" i="24" s="1"/>
  <c r="M27" i="24"/>
  <c r="C1809" i="19"/>
  <c r="B1808" i="19"/>
  <c r="B1771" i="19"/>
  <c r="B1562" i="19"/>
  <c r="M30" i="24" l="1"/>
  <c r="B1809" i="19"/>
  <c r="B1563" i="19"/>
  <c r="C1564" i="19"/>
  <c r="M56" i="24" l="1"/>
  <c r="C1811" i="19"/>
  <c r="B1810" i="19"/>
  <c r="M63" i="24"/>
  <c r="M66" i="24"/>
  <c r="B1564" i="19"/>
  <c r="R32" i="18"/>
  <c r="R30" i="18"/>
  <c r="M60" i="24" l="1"/>
  <c r="B1811" i="19"/>
  <c r="C1812" i="19"/>
  <c r="B1772" i="19"/>
  <c r="B1565" i="19"/>
  <c r="J13" i="18"/>
  <c r="J24" i="18"/>
  <c r="M31" i="18"/>
  <c r="J31" i="18"/>
  <c r="R31" i="18" s="1"/>
  <c r="S33" i="18" s="1"/>
  <c r="R19" i="18"/>
  <c r="R48" i="18"/>
  <c r="R45" i="18"/>
  <c r="S45" i="18" s="1"/>
  <c r="R44" i="18"/>
  <c r="R43" i="18"/>
  <c r="S43" i="18" s="1"/>
  <c r="R42" i="18"/>
  <c r="R41" i="18"/>
  <c r="S41" i="18" s="1"/>
  <c r="R38" i="18"/>
  <c r="R50" i="18" l="1"/>
  <c r="C1813" i="19"/>
  <c r="B1812" i="19"/>
  <c r="B1773" i="19"/>
  <c r="B1566" i="19"/>
  <c r="J44" i="18"/>
  <c r="B1813" i="19" l="1"/>
  <c r="B1774" i="19"/>
  <c r="B1567" i="19"/>
  <c r="J42" i="18"/>
  <c r="J40" i="18"/>
  <c r="B1814" i="19" l="1"/>
  <c r="B1775" i="19"/>
  <c r="B1569" i="19"/>
  <c r="M32" i="18"/>
  <c r="C1816" i="19" l="1"/>
  <c r="B1815" i="19"/>
  <c r="B1776" i="19"/>
  <c r="J47" i="18"/>
  <c r="J45" i="18"/>
  <c r="B1816" i="19" l="1"/>
  <c r="C1817" i="19"/>
  <c r="B1777" i="19"/>
  <c r="J16" i="18"/>
  <c r="C1818" i="19" l="1"/>
  <c r="B1817" i="19"/>
  <c r="B1778" i="19"/>
  <c r="J48" i="18"/>
  <c r="J43" i="18"/>
  <c r="J19" i="18"/>
  <c r="B1818" i="19" l="1"/>
  <c r="B1779" i="19"/>
  <c r="K48" i="18"/>
  <c r="K43" i="18"/>
  <c r="K41" i="18"/>
  <c r="K38" i="18"/>
  <c r="K31" i="18"/>
  <c r="K13" i="18"/>
  <c r="B1819" i="19" l="1"/>
  <c r="B1780" i="19"/>
  <c r="M45" i="18"/>
  <c r="M44" i="18"/>
  <c r="M43" i="18"/>
  <c r="M42" i="18"/>
  <c r="M41" i="18"/>
  <c r="M38" i="18"/>
  <c r="M19" i="18"/>
  <c r="M13" i="18"/>
  <c r="B1820" i="19" l="1"/>
  <c r="C1821" i="19"/>
  <c r="B1781" i="19"/>
  <c r="J15" i="24"/>
  <c r="J47" i="12"/>
  <c r="R15" i="24" l="1"/>
  <c r="Q15" i="24"/>
  <c r="X15" i="24"/>
  <c r="Y15" i="24" s="1"/>
  <c r="C1822" i="19"/>
  <c r="B1821" i="19"/>
  <c r="B1782" i="19"/>
  <c r="H17" i="5"/>
  <c r="G102" i="15"/>
  <c r="K102" i="15" s="1"/>
  <c r="C1823" i="19" l="1"/>
  <c r="B1822" i="19"/>
  <c r="B1783" i="19"/>
  <c r="H13" i="6"/>
  <c r="I87" i="3" l="1"/>
  <c r="H14" i="3"/>
  <c r="B1823" i="19"/>
  <c r="B1784" i="19"/>
  <c r="B1824" i="19" l="1"/>
  <c r="C1825" i="19"/>
  <c r="B1785" i="19"/>
  <c r="F37" i="15"/>
  <c r="F44" i="15" s="1"/>
  <c r="D37" i="15"/>
  <c r="B1825" i="19" l="1"/>
  <c r="C1826" i="19"/>
  <c r="B1786" i="19"/>
  <c r="G572" i="19"/>
  <c r="G571" i="19"/>
  <c r="B1826" i="19" l="1"/>
  <c r="B1787" i="19"/>
  <c r="T638" i="19"/>
  <c r="J18" i="18"/>
  <c r="O18" i="18" s="1"/>
  <c r="M53" i="18"/>
  <c r="M22" i="18"/>
  <c r="M39" i="18" s="1"/>
  <c r="M21" i="18"/>
  <c r="M15" i="18"/>
  <c r="M63" i="18"/>
  <c r="J55" i="12"/>
  <c r="B1827" i="19" l="1"/>
  <c r="B1788" i="19"/>
  <c r="M23" i="18"/>
  <c r="M26" i="18" s="1"/>
  <c r="M49" i="18"/>
  <c r="J27" i="12"/>
  <c r="H81" i="6"/>
  <c r="K64" i="3" s="1"/>
  <c r="D32" i="6"/>
  <c r="H32" i="6" l="1"/>
  <c r="H31" i="6"/>
  <c r="J29" i="12"/>
  <c r="B1828" i="19"/>
  <c r="B1789" i="19"/>
  <c r="J11" i="18"/>
  <c r="O11" i="18" s="1"/>
  <c r="I64" i="3"/>
  <c r="M60" i="18"/>
  <c r="M57" i="18"/>
  <c r="M50" i="18"/>
  <c r="M54" i="18" s="1"/>
  <c r="O17" i="18"/>
  <c r="J57" i="12" l="1"/>
  <c r="B1829" i="19"/>
  <c r="C1830" i="19"/>
  <c r="B1790" i="19"/>
  <c r="J68" i="12" l="1"/>
  <c r="J71" i="12" s="1"/>
  <c r="B1830" i="19"/>
  <c r="B1791" i="19"/>
  <c r="O47" i="23"/>
  <c r="O45" i="23"/>
  <c r="O42" i="23"/>
  <c r="O36" i="23"/>
  <c r="O35" i="23"/>
  <c r="O32" i="23"/>
  <c r="O24" i="23"/>
  <c r="O18" i="23"/>
  <c r="O17" i="23"/>
  <c r="O16" i="23"/>
  <c r="O15" i="23"/>
  <c r="O14" i="23"/>
  <c r="O13" i="23"/>
  <c r="O10" i="23"/>
  <c r="O9" i="23"/>
  <c r="J34" i="23"/>
  <c r="O34" i="23" s="1"/>
  <c r="M41" i="23"/>
  <c r="J41" i="23"/>
  <c r="J43" i="23"/>
  <c r="M39" i="23"/>
  <c r="J39" i="23"/>
  <c r="J35" i="23"/>
  <c r="J33" i="23"/>
  <c r="O33" i="23" s="1"/>
  <c r="M30" i="23"/>
  <c r="O30" i="23" s="1"/>
  <c r="O39" i="23" l="1"/>
  <c r="O41" i="23"/>
  <c r="M31" i="23"/>
  <c r="B1831" i="19"/>
  <c r="B1792" i="19"/>
  <c r="J29" i="23"/>
  <c r="B1832" i="19" l="1"/>
  <c r="B1793" i="19"/>
  <c r="O29" i="23"/>
  <c r="J31" i="23"/>
  <c r="O31" i="23" s="1"/>
  <c r="J46" i="23"/>
  <c r="O46" i="23" s="1"/>
  <c r="J44" i="23"/>
  <c r="O44" i="23" s="1"/>
  <c r="M43" i="23"/>
  <c r="O43" i="23" s="1"/>
  <c r="B1833" i="19" l="1"/>
  <c r="B1794" i="19"/>
  <c r="M37" i="23"/>
  <c r="J37" i="23"/>
  <c r="C1835" i="19" l="1"/>
  <c r="B1834" i="19"/>
  <c r="B1795" i="19"/>
  <c r="O37" i="23"/>
  <c r="J51" i="23"/>
  <c r="O51" i="23" s="1"/>
  <c r="P24" i="23"/>
  <c r="P16" i="23"/>
  <c r="P14" i="23"/>
  <c r="J12" i="23"/>
  <c r="K52" i="23"/>
  <c r="K47" i="23"/>
  <c r="P47" i="23"/>
  <c r="P46" i="23"/>
  <c r="P44" i="23"/>
  <c r="P43" i="23"/>
  <c r="P42" i="23"/>
  <c r="K42" i="23"/>
  <c r="P41" i="23"/>
  <c r="J40" i="23"/>
  <c r="O40" i="23" s="1"/>
  <c r="P39" i="23"/>
  <c r="M52" i="23"/>
  <c r="J52" i="23"/>
  <c r="P36" i="23"/>
  <c r="P35" i="23"/>
  <c r="P34" i="23"/>
  <c r="P33" i="23"/>
  <c r="K30" i="23"/>
  <c r="K31" i="23" s="1"/>
  <c r="P29" i="23"/>
  <c r="O23" i="23"/>
  <c r="P23" i="23" s="1"/>
  <c r="M38" i="23"/>
  <c r="K21" i="23"/>
  <c r="K38" i="23" s="1"/>
  <c r="J38" i="23"/>
  <c r="O20" i="23"/>
  <c r="M19" i="23"/>
  <c r="O19" i="23" s="1"/>
  <c r="K19" i="23"/>
  <c r="P18" i="23"/>
  <c r="P17" i="23"/>
  <c r="P15" i="23"/>
  <c r="K14" i="23"/>
  <c r="K13" i="23"/>
  <c r="K12" i="23"/>
  <c r="P10" i="23"/>
  <c r="K10" i="23"/>
  <c r="K9" i="23"/>
  <c r="K8" i="23"/>
  <c r="G43" i="15"/>
  <c r="E34" i="15"/>
  <c r="B1835" i="19" l="1"/>
  <c r="C1836" i="19"/>
  <c r="B1796" i="19"/>
  <c r="O12" i="23"/>
  <c r="P12" i="23" s="1"/>
  <c r="O38" i="23"/>
  <c r="P38" i="23" s="1"/>
  <c r="O52" i="23"/>
  <c r="M48" i="23"/>
  <c r="O22" i="23"/>
  <c r="P31" i="23"/>
  <c r="P37" i="23"/>
  <c r="P40" i="23"/>
  <c r="J22" i="23"/>
  <c r="J25" i="23" s="1"/>
  <c r="K48" i="23"/>
  <c r="K22" i="23"/>
  <c r="K25" i="23" s="1"/>
  <c r="P13" i="23"/>
  <c r="P30" i="23"/>
  <c r="J48" i="23"/>
  <c r="M22" i="23"/>
  <c r="M25" i="23" s="1"/>
  <c r="O21" i="23"/>
  <c r="B1836" i="19" l="1"/>
  <c r="B1797" i="19"/>
  <c r="O48" i="23"/>
  <c r="P48" i="23" s="1"/>
  <c r="K49" i="23"/>
  <c r="K53" i="23" s="1"/>
  <c r="O25" i="23"/>
  <c r="P25" i="23" s="1"/>
  <c r="J49" i="23"/>
  <c r="M49" i="23"/>
  <c r="M53" i="23" s="1"/>
  <c r="P9" i="23"/>
  <c r="P22" i="23"/>
  <c r="B1837" i="19" l="1"/>
  <c r="B1798" i="19"/>
  <c r="O49" i="23"/>
  <c r="P49" i="23" s="1"/>
  <c r="J53" i="23"/>
  <c r="O53" i="23" s="1"/>
  <c r="B1838" i="19" l="1"/>
  <c r="B1799" i="19"/>
  <c r="J14" i="18"/>
  <c r="C1840" i="19" l="1"/>
  <c r="B1839" i="19"/>
  <c r="B1800" i="19"/>
  <c r="B1840" i="19" l="1"/>
  <c r="B1801" i="19"/>
  <c r="G42" i="15"/>
  <c r="G41" i="15"/>
  <c r="G40" i="15"/>
  <c r="G39" i="15"/>
  <c r="G38" i="15"/>
  <c r="G37" i="15"/>
  <c r="G36" i="15"/>
  <c r="G35" i="15"/>
  <c r="E44" i="15"/>
  <c r="C44" i="15"/>
  <c r="C1842" i="19" l="1"/>
  <c r="B1841" i="19"/>
  <c r="N526" i="19"/>
  <c r="N527" i="19" s="1"/>
  <c r="N528" i="19" s="1"/>
  <c r="N529" i="19" s="1"/>
  <c r="N530" i="19" s="1"/>
  <c r="N531" i="19" s="1"/>
  <c r="N532" i="19" s="1"/>
  <c r="N533" i="19" s="1"/>
  <c r="N534" i="19" s="1"/>
  <c r="N535" i="19" s="1"/>
  <c r="N536" i="19" s="1"/>
  <c r="N537" i="19" s="1"/>
  <c r="N538" i="19" s="1"/>
  <c r="N539" i="19" s="1"/>
  <c r="N540" i="19" s="1"/>
  <c r="N541" i="19" s="1"/>
  <c r="N542" i="19" s="1"/>
  <c r="N543" i="19" s="1"/>
  <c r="N544" i="19" s="1"/>
  <c r="N545" i="19" s="1"/>
  <c r="N546" i="19" s="1"/>
  <c r="N547" i="19" s="1"/>
  <c r="N548" i="19" s="1"/>
  <c r="N549" i="19" s="1"/>
  <c r="N550" i="19" s="1"/>
  <c r="N551" i="19" s="1"/>
  <c r="N552" i="19" s="1"/>
  <c r="N553" i="19" s="1"/>
  <c r="N554" i="19" s="1"/>
  <c r="N555" i="19" s="1"/>
  <c r="N556" i="19" s="1"/>
  <c r="N557" i="19" s="1"/>
  <c r="N558" i="19" s="1"/>
  <c r="N559" i="19" s="1"/>
  <c r="N560" i="19" s="1"/>
  <c r="N561" i="19" s="1"/>
  <c r="N562" i="19" s="1"/>
  <c r="N563" i="19" s="1"/>
  <c r="N564" i="19" s="1"/>
  <c r="N565" i="19" s="1"/>
  <c r="N566" i="19" s="1"/>
  <c r="N567" i="19" s="1"/>
  <c r="N568" i="19" s="1"/>
  <c r="N569" i="19" s="1"/>
  <c r="N570" i="19" s="1"/>
  <c r="N571" i="19" s="1"/>
  <c r="N572" i="19" s="1"/>
  <c r="N573" i="19" s="1"/>
  <c r="N574" i="19" s="1"/>
  <c r="N575" i="19" s="1"/>
  <c r="N576" i="19" s="1"/>
  <c r="N577" i="19" s="1"/>
  <c r="N578" i="19" s="1"/>
  <c r="N579" i="19" s="1"/>
  <c r="N580" i="19" s="1"/>
  <c r="N581" i="19" s="1"/>
  <c r="N582" i="19" s="1"/>
  <c r="N583" i="19" s="1"/>
  <c r="N584" i="19" s="1"/>
  <c r="N585" i="19" s="1"/>
  <c r="N586" i="19" s="1"/>
  <c r="N587" i="19" s="1"/>
  <c r="N588" i="19" s="1"/>
  <c r="B1842" i="19" l="1"/>
  <c r="N589" i="19"/>
  <c r="N590" i="19" s="1"/>
  <c r="N591" i="19" s="1"/>
  <c r="N592" i="19" s="1"/>
  <c r="N593" i="19" s="1"/>
  <c r="N594" i="19" s="1"/>
  <c r="N595" i="19" s="1"/>
  <c r="N596" i="19" s="1"/>
  <c r="B1844" i="19" l="1"/>
  <c r="B1843" i="19"/>
  <c r="T635" i="19" l="1"/>
  <c r="T636" i="19" l="1"/>
  <c r="T640" i="19" s="1"/>
  <c r="T643" i="19" s="1"/>
  <c r="A3" i="18" l="1"/>
  <c r="O20" i="18"/>
  <c r="O19" i="18"/>
  <c r="H39" i="6" l="1"/>
  <c r="L54" i="3" s="1"/>
  <c r="O10" i="18" l="1"/>
  <c r="O41" i="18" l="1"/>
  <c r="P41" i="18" s="1"/>
  <c r="O38" i="18"/>
  <c r="P38" i="18" s="1"/>
  <c r="O52" i="18"/>
  <c r="O48" i="18"/>
  <c r="P48" i="18" s="1"/>
  <c r="O47" i="18"/>
  <c r="P47" i="18" s="1"/>
  <c r="O46" i="18"/>
  <c r="O45" i="18"/>
  <c r="P45" i="18" s="1"/>
  <c r="O40" i="18"/>
  <c r="P40" i="18" s="1"/>
  <c r="O37" i="18"/>
  <c r="P37" i="18" s="1"/>
  <c r="O36" i="18"/>
  <c r="P36" i="18" s="1"/>
  <c r="O35" i="18"/>
  <c r="P35" i="18" s="1"/>
  <c r="O34" i="18"/>
  <c r="P34" i="18" s="1"/>
  <c r="O33" i="18"/>
  <c r="O31" i="18"/>
  <c r="P31" i="18" s="1"/>
  <c r="O30" i="18"/>
  <c r="P30" i="18" s="1"/>
  <c r="O25" i="18"/>
  <c r="P25" i="18" s="1"/>
  <c r="O13" i="18"/>
  <c r="P13" i="18" s="1"/>
  <c r="P10" i="18"/>
  <c r="O16" i="18"/>
  <c r="P16" i="18" s="1"/>
  <c r="O14" i="18"/>
  <c r="P14" i="18" s="1"/>
  <c r="O24" i="18" l="1"/>
  <c r="P24" i="18" s="1"/>
  <c r="O44" i="18"/>
  <c r="P44" i="18" s="1"/>
  <c r="O43" i="18"/>
  <c r="P43" i="18" s="1"/>
  <c r="O42" i="18"/>
  <c r="P42" i="18" s="1"/>
  <c r="H37" i="6" l="1"/>
  <c r="A4" i="18" l="1"/>
  <c r="J14" i="24" l="1"/>
  <c r="K13" i="3"/>
  <c r="J14" i="30"/>
  <c r="G51" i="22"/>
  <c r="G47" i="22"/>
  <c r="G46" i="22"/>
  <c r="G13" i="22"/>
  <c r="G20" i="22"/>
  <c r="X14" i="24" l="1"/>
  <c r="X27" i="24" s="1"/>
  <c r="X30" i="24" s="1"/>
  <c r="Q14" i="24"/>
  <c r="R14" i="24"/>
  <c r="Y14" i="24"/>
  <c r="Y27" i="24" s="1"/>
  <c r="Y30" i="24" s="1"/>
  <c r="Y56" i="24" s="1"/>
  <c r="G28" i="22"/>
  <c r="K14" i="30"/>
  <c r="J25" i="30"/>
  <c r="J28" i="30" s="1"/>
  <c r="J54" i="30" s="1"/>
  <c r="J58" i="30" s="1"/>
  <c r="J27" i="24"/>
  <c r="G34" i="22"/>
  <c r="R27" i="24" l="1"/>
  <c r="Q27" i="24"/>
  <c r="J30" i="24"/>
  <c r="M14" i="30"/>
  <c r="M25" i="30" s="1"/>
  <c r="M28" i="30" s="1"/>
  <c r="M54" i="30" s="1"/>
  <c r="M58" i="30" s="1"/>
  <c r="K25" i="30"/>
  <c r="K28" i="30" s="1"/>
  <c r="K54" i="30" s="1"/>
  <c r="K58" i="30" s="1"/>
  <c r="G53" i="22"/>
  <c r="G55" i="22" s="1"/>
  <c r="R30" i="24" l="1"/>
  <c r="Q30" i="24"/>
  <c r="J56" i="24"/>
  <c r="L32" i="5"/>
  <c r="AD56" i="24" l="1"/>
  <c r="R56" i="24"/>
  <c r="Q56" i="24"/>
  <c r="X56" i="24"/>
  <c r="X60" i="24" s="1"/>
  <c r="J60" i="24"/>
  <c r="G44" i="15"/>
  <c r="R60" i="24" l="1"/>
  <c r="Q60" i="24"/>
  <c r="Y60" i="24"/>
  <c r="H43" i="15"/>
  <c r="H41" i="15"/>
  <c r="H38" i="15"/>
  <c r="H34" i="15"/>
  <c r="H42" i="15"/>
  <c r="H40" i="15"/>
  <c r="H37" i="15"/>
  <c r="H35" i="15"/>
  <c r="O32" i="18" l="1"/>
  <c r="P32" i="18" s="1"/>
  <c r="D44" i="15" l="1"/>
  <c r="J22" i="18" l="1"/>
  <c r="K22" i="18"/>
  <c r="K39" i="18" s="1"/>
  <c r="K21" i="18"/>
  <c r="K63" i="18"/>
  <c r="K15" i="18"/>
  <c r="K8" i="18"/>
  <c r="K49" i="18" l="1"/>
  <c r="K53" i="18"/>
  <c r="J39" i="18"/>
  <c r="J49" i="18" s="1"/>
  <c r="K23" i="18"/>
  <c r="K57" i="18" l="1"/>
  <c r="K60" i="18"/>
  <c r="E89" i="6" l="1"/>
  <c r="H47" i="6"/>
  <c r="H48" i="6" l="1"/>
  <c r="A3" i="21"/>
  <c r="H44" i="15" l="1"/>
  <c r="G69" i="21" l="1"/>
  <c r="F69" i="21"/>
  <c r="C69" i="21"/>
  <c r="G68" i="21"/>
  <c r="F68" i="21"/>
  <c r="C68" i="21"/>
  <c r="G67" i="21"/>
  <c r="F67" i="21"/>
  <c r="C67" i="21"/>
  <c r="B67" i="21"/>
  <c r="G66" i="21"/>
  <c r="F66" i="21"/>
  <c r="B66" i="21"/>
  <c r="G64" i="21"/>
  <c r="F64" i="21"/>
  <c r="C64" i="21"/>
  <c r="H63" i="21"/>
  <c r="H62" i="21"/>
  <c r="H61" i="21"/>
  <c r="H60" i="21"/>
  <c r="E60" i="21"/>
  <c r="E64" i="21" s="1"/>
  <c r="H59" i="21"/>
  <c r="H58" i="21"/>
  <c r="B58" i="21"/>
  <c r="H57" i="21"/>
  <c r="B57" i="21"/>
  <c r="H56" i="21"/>
  <c r="H55" i="21"/>
  <c r="D55" i="21"/>
  <c r="H54" i="21"/>
  <c r="H53" i="21"/>
  <c r="H52" i="21"/>
  <c r="H51" i="21"/>
  <c r="D51" i="21"/>
  <c r="G50" i="21"/>
  <c r="F50" i="21"/>
  <c r="C50" i="21"/>
  <c r="H49" i="21"/>
  <c r="H48" i="21"/>
  <c r="H47" i="21"/>
  <c r="H46" i="21"/>
  <c r="E46" i="21"/>
  <c r="H45" i="21"/>
  <c r="H44" i="21"/>
  <c r="H43" i="21"/>
  <c r="H42" i="21"/>
  <c r="H41" i="21"/>
  <c r="H40" i="21"/>
  <c r="H39" i="21"/>
  <c r="H38" i="21"/>
  <c r="H37" i="21"/>
  <c r="E37" i="21"/>
  <c r="D37" i="21"/>
  <c r="D68" i="21" s="1"/>
  <c r="B37" i="21"/>
  <c r="B50" i="21" s="1"/>
  <c r="G36" i="21"/>
  <c r="F36" i="21"/>
  <c r="C36" i="21"/>
  <c r="B36" i="21"/>
  <c r="H35" i="21"/>
  <c r="H34" i="21"/>
  <c r="H33" i="21"/>
  <c r="H32" i="21"/>
  <c r="H31" i="21"/>
  <c r="H30" i="21"/>
  <c r="H29" i="21"/>
  <c r="D29" i="21"/>
  <c r="D67" i="21" s="1"/>
  <c r="H28" i="21"/>
  <c r="E28" i="21"/>
  <c r="H27" i="21"/>
  <c r="E27" i="21"/>
  <c r="H26" i="21"/>
  <c r="H25" i="21"/>
  <c r="H24" i="21"/>
  <c r="H23" i="21"/>
  <c r="G22" i="21"/>
  <c r="F22" i="21"/>
  <c r="B22" i="21"/>
  <c r="H21" i="21"/>
  <c r="C21" i="21"/>
  <c r="H20" i="21"/>
  <c r="C20" i="21"/>
  <c r="H19" i="21"/>
  <c r="C19" i="21"/>
  <c r="H18" i="21"/>
  <c r="C18" i="21"/>
  <c r="H17" i="21"/>
  <c r="C17" i="21"/>
  <c r="H16" i="21"/>
  <c r="C16" i="21"/>
  <c r="H15" i="21"/>
  <c r="C15" i="21"/>
  <c r="H14" i="21"/>
  <c r="E14" i="21"/>
  <c r="C14" i="21"/>
  <c r="H13" i="21"/>
  <c r="C13" i="21"/>
  <c r="H12" i="21"/>
  <c r="C12" i="21"/>
  <c r="H11" i="21"/>
  <c r="C11" i="21"/>
  <c r="H10" i="21"/>
  <c r="C10" i="21"/>
  <c r="H9" i="21"/>
  <c r="E9" i="21"/>
  <c r="D9" i="21"/>
  <c r="D22" i="21" s="1"/>
  <c r="C9" i="21"/>
  <c r="F65" i="21" l="1"/>
  <c r="D69" i="21"/>
  <c r="G65" i="21"/>
  <c r="B65" i="21"/>
  <c r="H66" i="21"/>
  <c r="H36" i="21"/>
  <c r="B69" i="21"/>
  <c r="E66" i="21"/>
  <c r="C66" i="21"/>
  <c r="H50" i="21"/>
  <c r="H67" i="21"/>
  <c r="H68" i="21"/>
  <c r="B68" i="21"/>
  <c r="E22" i="21"/>
  <c r="D66" i="21"/>
  <c r="H22" i="21"/>
  <c r="E36" i="21"/>
  <c r="E50" i="21"/>
  <c r="D50" i="21"/>
  <c r="H64" i="21"/>
  <c r="H69" i="21"/>
  <c r="B64" i="21"/>
  <c r="E67" i="21"/>
  <c r="C22" i="21"/>
  <c r="C65" i="21" s="1"/>
  <c r="D64" i="21"/>
  <c r="E69" i="21"/>
  <c r="D36" i="21"/>
  <c r="D65" i="21" s="1"/>
  <c r="E68" i="21"/>
  <c r="E65" i="21" l="1"/>
  <c r="H65" i="21"/>
  <c r="E80" i="15" l="1"/>
  <c r="J21" i="18" l="1"/>
  <c r="O21" i="18" s="1"/>
  <c r="G8" i="12" l="1"/>
  <c r="J8" i="12" l="1"/>
  <c r="M8" i="33" s="1"/>
  <c r="J8" i="33"/>
  <c r="J8" i="24"/>
  <c r="E81" i="15"/>
  <c r="M8" i="24" l="1"/>
  <c r="B323" i="19"/>
  <c r="K26" i="18" l="1"/>
  <c r="K50" i="18" s="1"/>
  <c r="K54" i="18" s="1"/>
  <c r="O22" i="18"/>
  <c r="J63" i="18" l="1"/>
  <c r="J8" i="18"/>
  <c r="J53" i="18"/>
  <c r="O53" i="18" s="1"/>
  <c r="O9" i="18" l="1"/>
  <c r="P9" i="18" s="1"/>
  <c r="O39" i="18"/>
  <c r="P39" i="18" s="1"/>
  <c r="J57" i="18" l="1"/>
  <c r="O49" i="18"/>
  <c r="P49" i="18" s="1"/>
  <c r="J60" i="18"/>
  <c r="M8" i="18"/>
  <c r="G55" i="12" l="1"/>
  <c r="J15" i="18"/>
  <c r="O15" i="18" s="1"/>
  <c r="P15" i="18" s="1"/>
  <c r="R55" i="12" l="1"/>
  <c r="M55" i="12"/>
  <c r="L55" i="12"/>
  <c r="O23" i="18"/>
  <c r="P23" i="18" s="1"/>
  <c r="J23" i="18"/>
  <c r="J26" i="18" s="1"/>
  <c r="O26" i="18" l="1"/>
  <c r="P26" i="18" s="1"/>
  <c r="J50" i="18"/>
  <c r="O50" i="18" s="1"/>
  <c r="P50" i="18" s="1"/>
  <c r="J54" i="18" l="1"/>
  <c r="O54" i="18" s="1"/>
  <c r="G14" i="20"/>
  <c r="G46" i="20"/>
  <c r="G49" i="20"/>
  <c r="G48" i="20"/>
  <c r="G43" i="20"/>
  <c r="G41" i="20"/>
  <c r="G40" i="20"/>
  <c r="G28" i="20"/>
  <c r="G29" i="20" s="1"/>
  <c r="G24" i="20"/>
  <c r="G19" i="20"/>
  <c r="G31" i="20"/>
  <c r="G30" i="20"/>
  <c r="G23" i="20" l="1"/>
  <c r="G25" i="20" s="1"/>
  <c r="G51" i="20"/>
  <c r="G53" i="20" l="1"/>
  <c r="A132" i="19" l="1"/>
  <c r="A137" i="19" s="1"/>
  <c r="A142" i="19" s="1"/>
  <c r="A147" i="19" s="1"/>
  <c r="A152" i="19" s="1"/>
  <c r="A157" i="19" s="1"/>
  <c r="A162" i="19" s="1"/>
  <c r="A167" i="19" s="1"/>
  <c r="A172" i="19" s="1"/>
  <c r="A177" i="19" s="1"/>
  <c r="A182" i="19" s="1"/>
  <c r="A187" i="19" s="1"/>
  <c r="A192" i="19" s="1"/>
  <c r="A197" i="19" s="1"/>
  <c r="A202" i="19" s="1"/>
  <c r="A207" i="19" s="1"/>
  <c r="A212" i="19" s="1"/>
  <c r="A217" i="19" s="1"/>
  <c r="A222" i="19" s="1"/>
  <c r="A227" i="19" s="1"/>
  <c r="A232" i="19" s="1"/>
  <c r="A237" i="19" s="1"/>
  <c r="A242" i="19" s="1"/>
  <c r="A247" i="19" s="1"/>
  <c r="A252" i="19" s="1"/>
  <c r="A257" i="19" s="1"/>
  <c r="A262" i="19" s="1"/>
  <c r="A131" i="19"/>
  <c r="A136" i="19" s="1"/>
  <c r="A141" i="19" s="1"/>
  <c r="A146" i="19" s="1"/>
  <c r="A151" i="19" s="1"/>
  <c r="A156" i="19" s="1"/>
  <c r="A161" i="19" s="1"/>
  <c r="A166" i="19" s="1"/>
  <c r="A171" i="19" s="1"/>
  <c r="A176" i="19" s="1"/>
  <c r="A181" i="19" s="1"/>
  <c r="A186" i="19" s="1"/>
  <c r="A191" i="19" s="1"/>
  <c r="A196" i="19" s="1"/>
  <c r="A201" i="19" s="1"/>
  <c r="A206" i="19" s="1"/>
  <c r="A211" i="19" s="1"/>
  <c r="A216" i="19" s="1"/>
  <c r="A221" i="19" s="1"/>
  <c r="A226" i="19" s="1"/>
  <c r="A231" i="19" s="1"/>
  <c r="A236" i="19" s="1"/>
  <c r="A241" i="19" s="1"/>
  <c r="A246" i="19" s="1"/>
  <c r="A251" i="19" s="1"/>
  <c r="A256" i="19" s="1"/>
  <c r="A261" i="19" s="1"/>
  <c r="A130" i="19"/>
  <c r="A135" i="19" s="1"/>
  <c r="A140" i="19" s="1"/>
  <c r="A145" i="19" s="1"/>
  <c r="A150" i="19" s="1"/>
  <c r="A155" i="19" s="1"/>
  <c r="A160" i="19" s="1"/>
  <c r="A165" i="19" s="1"/>
  <c r="A170" i="19" s="1"/>
  <c r="A175" i="19" s="1"/>
  <c r="A180" i="19" s="1"/>
  <c r="A185" i="19" s="1"/>
  <c r="A190" i="19" s="1"/>
  <c r="A195" i="19" s="1"/>
  <c r="A200" i="19" s="1"/>
  <c r="A205" i="19" s="1"/>
  <c r="A210" i="19" s="1"/>
  <c r="A215" i="19" s="1"/>
  <c r="A220" i="19" s="1"/>
  <c r="A225" i="19" s="1"/>
  <c r="A230" i="19" s="1"/>
  <c r="A235" i="19" s="1"/>
  <c r="A240" i="19" s="1"/>
  <c r="A245" i="19" s="1"/>
  <c r="A250" i="19" s="1"/>
  <c r="A255" i="19" s="1"/>
  <c r="A260" i="19" s="1"/>
  <c r="A128" i="19"/>
  <c r="A133" i="19" s="1"/>
  <c r="A138" i="19" s="1"/>
  <c r="A143" i="19" s="1"/>
  <c r="A148" i="19" s="1"/>
  <c r="A153" i="19" s="1"/>
  <c r="A158" i="19" s="1"/>
  <c r="A163" i="19" s="1"/>
  <c r="A168" i="19" s="1"/>
  <c r="A173" i="19" s="1"/>
  <c r="A178" i="19" s="1"/>
  <c r="A183" i="19" s="1"/>
  <c r="A188" i="19" s="1"/>
  <c r="A193" i="19" s="1"/>
  <c r="A198" i="19" s="1"/>
  <c r="A203" i="19" s="1"/>
  <c r="A208" i="19" s="1"/>
  <c r="A213" i="19" s="1"/>
  <c r="A218" i="19" s="1"/>
  <c r="A223" i="19" s="1"/>
  <c r="A228" i="19" s="1"/>
  <c r="A233" i="19" s="1"/>
  <c r="A238" i="19" s="1"/>
  <c r="A243" i="19" s="1"/>
  <c r="A248" i="19" s="1"/>
  <c r="A253" i="19" s="1"/>
  <c r="A258" i="19" s="1"/>
  <c r="A263" i="19" s="1"/>
  <c r="B105" i="19"/>
  <c r="B101" i="19"/>
  <c r="B97" i="19"/>
  <c r="B94" i="19"/>
  <c r="B89" i="19"/>
  <c r="B86" i="19"/>
  <c r="B76" i="19"/>
  <c r="B74" i="19"/>
  <c r="B71" i="19"/>
  <c r="B69" i="19"/>
  <c r="B67" i="19"/>
  <c r="B65" i="19"/>
  <c r="B52" i="19"/>
  <c r="B50" i="19"/>
  <c r="B46" i="19"/>
  <c r="B47" i="19" s="1"/>
  <c r="B42" i="19"/>
  <c r="B39" i="19"/>
  <c r="B40" i="19" s="1"/>
  <c r="B35" i="19"/>
  <c r="B36" i="19" s="1"/>
  <c r="B32" i="19"/>
  <c r="B27" i="19"/>
  <c r="B22" i="19"/>
  <c r="B19" i="19"/>
  <c r="B16" i="19"/>
  <c r="B15" i="19"/>
  <c r="B12" i="19"/>
  <c r="B9" i="19"/>
  <c r="B7" i="19"/>
  <c r="A129" i="19" l="1"/>
  <c r="A134" i="19" s="1"/>
  <c r="A139" i="19" s="1"/>
  <c r="A144" i="19" s="1"/>
  <c r="A149" i="19" s="1"/>
  <c r="A154" i="19" s="1"/>
  <c r="A159" i="19" s="1"/>
  <c r="A164" i="19" s="1"/>
  <c r="A169" i="19" s="1"/>
  <c r="A174" i="19" s="1"/>
  <c r="A179" i="19" s="1"/>
  <c r="A184" i="19" s="1"/>
  <c r="A189" i="19" s="1"/>
  <c r="A194" i="19" s="1"/>
  <c r="A199" i="19" s="1"/>
  <c r="A204" i="19" s="1"/>
  <c r="A209" i="19" s="1"/>
  <c r="A214" i="19" s="1"/>
  <c r="A219" i="19" s="1"/>
  <c r="A224" i="19" s="1"/>
  <c r="A229" i="19" s="1"/>
  <c r="A234" i="19" s="1"/>
  <c r="A239" i="19" s="1"/>
  <c r="A244" i="19" s="1"/>
  <c r="A249" i="19" s="1"/>
  <c r="A254" i="19" s="1"/>
  <c r="A259" i="19" s="1"/>
  <c r="A264" i="19" s="1"/>
  <c r="H17" i="6" l="1"/>
  <c r="H19" i="6" s="1"/>
  <c r="F113" i="15" l="1"/>
  <c r="H71" i="6" l="1"/>
  <c r="M50" i="3" s="1"/>
  <c r="M64" i="3" s="1"/>
  <c r="M66" i="3" s="1"/>
  <c r="H51" i="6"/>
  <c r="H63" i="5" l="1"/>
  <c r="Q63" i="5" s="1"/>
  <c r="J64" i="3"/>
  <c r="H52" i="6"/>
  <c r="L64" i="3" l="1"/>
  <c r="H77" i="6" l="1"/>
  <c r="U8" i="17" l="1"/>
  <c r="W38" i="17"/>
  <c r="V38" i="17"/>
  <c r="U38" i="17"/>
  <c r="T38" i="17"/>
  <c r="S38" i="17"/>
  <c r="R38" i="17"/>
  <c r="Q38" i="17"/>
  <c r="P38" i="17"/>
  <c r="O38" i="17"/>
  <c r="N38" i="17"/>
  <c r="M38" i="17"/>
  <c r="L38" i="17"/>
  <c r="W32" i="17"/>
  <c r="V32" i="17"/>
  <c r="U32" i="17"/>
  <c r="T32" i="17"/>
  <c r="S32" i="17"/>
  <c r="R32" i="17"/>
  <c r="Q32" i="17"/>
  <c r="P32" i="17"/>
  <c r="O32" i="17"/>
  <c r="N32" i="17"/>
  <c r="M32" i="17"/>
  <c r="L32" i="17"/>
  <c r="P13" i="17"/>
  <c r="P19" i="17" s="1"/>
  <c r="L13" i="17"/>
  <c r="L19" i="17" s="1"/>
  <c r="W13" i="17"/>
  <c r="W19" i="17" s="1"/>
  <c r="S13" i="17"/>
  <c r="S19" i="17" s="1"/>
  <c r="O13" i="17"/>
  <c r="O19" i="17" s="1"/>
  <c r="K12" i="17"/>
  <c r="K13" i="17" s="1"/>
  <c r="K19" i="17" s="1"/>
  <c r="K38" i="17"/>
  <c r="K32" i="17"/>
  <c r="J12" i="17"/>
  <c r="J13" i="17" s="1"/>
  <c r="J19" i="17" s="1"/>
  <c r="J38" i="17"/>
  <c r="J32" i="17"/>
  <c r="I29" i="17"/>
  <c r="I32" i="17" s="1"/>
  <c r="I38" i="17"/>
  <c r="I13" i="17"/>
  <c r="I19" i="17" s="1"/>
  <c r="H38" i="17"/>
  <c r="H32" i="17"/>
  <c r="H13" i="17"/>
  <c r="H19" i="17" s="1"/>
  <c r="G38" i="17"/>
  <c r="G32" i="17"/>
  <c r="G13" i="17"/>
  <c r="G19" i="17" s="1"/>
  <c r="G40" i="17" l="1"/>
  <c r="R40" i="17"/>
  <c r="N40" i="17"/>
  <c r="W40" i="17"/>
  <c r="T40" i="17"/>
  <c r="T13" i="17"/>
  <c r="T19" i="17" s="1"/>
  <c r="L40" i="17"/>
  <c r="O40" i="17"/>
  <c r="S40" i="17"/>
  <c r="P40" i="17"/>
  <c r="M13" i="17"/>
  <c r="M19" i="17" s="1"/>
  <c r="Q13" i="17"/>
  <c r="Q19" i="17" s="1"/>
  <c r="U13" i="17"/>
  <c r="U19" i="17" s="1"/>
  <c r="M40" i="17"/>
  <c r="Q40" i="17"/>
  <c r="U40" i="17"/>
  <c r="N13" i="17"/>
  <c r="N19" i="17" s="1"/>
  <c r="R13" i="17"/>
  <c r="R19" i="17" s="1"/>
  <c r="V13" i="17"/>
  <c r="V19" i="17" s="1"/>
  <c r="V40" i="17"/>
  <c r="K40" i="17"/>
  <c r="J40" i="17"/>
  <c r="I40" i="17"/>
  <c r="H40" i="17"/>
  <c r="L50" i="5" l="1"/>
  <c r="L59" i="5" s="1"/>
  <c r="L17" i="5"/>
  <c r="H40" i="6" l="1"/>
  <c r="I89" i="3" s="1"/>
  <c r="K68" i="3" l="1"/>
  <c r="I68" i="3" s="1"/>
  <c r="L68" i="3" s="1"/>
  <c r="L24" i="5" l="1"/>
  <c r="L26" i="5" s="1"/>
  <c r="L36" i="5" s="1"/>
  <c r="H57" i="5"/>
  <c r="L70" i="5" l="1"/>
  <c r="E231" i="6" l="1"/>
  <c r="E232" i="6"/>
  <c r="E233" i="6"/>
  <c r="G231" i="6" l="1"/>
  <c r="H22" i="6" l="1"/>
  <c r="D96" i="6" l="1"/>
  <c r="D98" i="6" s="1"/>
  <c r="H235" i="6"/>
  <c r="K11" i="3" l="1"/>
  <c r="H16" i="3"/>
  <c r="D9" i="6"/>
  <c r="G61" i="6"/>
  <c r="G89" i="6" s="1"/>
  <c r="D28" i="6"/>
  <c r="H11" i="3" l="1"/>
  <c r="D89" i="6"/>
  <c r="D234" i="6"/>
  <c r="H7" i="6" l="1"/>
  <c r="H8" i="6"/>
  <c r="H9" i="6" l="1"/>
  <c r="H54" i="6" l="1"/>
  <c r="G57" i="12" l="1"/>
  <c r="M57" i="12" l="1"/>
  <c r="L57" i="12"/>
  <c r="G68" i="12"/>
  <c r="L65" i="5"/>
  <c r="L67" i="5" s="1"/>
  <c r="M68" i="12" l="1"/>
  <c r="L68" i="12"/>
  <c r="D232" i="6"/>
  <c r="H36" i="6"/>
  <c r="H41" i="6" l="1"/>
  <c r="E235" i="6"/>
  <c r="H61" i="6"/>
  <c r="H89" i="6" s="1"/>
  <c r="G235" i="6" l="1"/>
  <c r="H65" i="5" l="1"/>
  <c r="G71" i="12"/>
  <c r="G113" i="15"/>
  <c r="K113" i="15" s="1"/>
  <c r="I17" i="3" l="1"/>
  <c r="I84" i="3" s="1"/>
  <c r="I90" i="3" s="1"/>
  <c r="K7" i="3" l="1"/>
  <c r="H7" i="3"/>
  <c r="D233" i="6"/>
  <c r="D100" i="6" l="1"/>
  <c r="K72" i="3"/>
  <c r="H17" i="3"/>
  <c r="K17" i="3"/>
  <c r="J17" i="3"/>
  <c r="E17" i="15"/>
  <c r="D231" i="6"/>
  <c r="D235" i="6" s="1"/>
  <c r="F14" i="15" l="1"/>
  <c r="F91" i="6"/>
  <c r="E91" i="6"/>
  <c r="K73" i="3"/>
  <c r="K74" i="3" s="1"/>
  <c r="D91" i="6"/>
  <c r="G91" i="6"/>
  <c r="H91" i="6"/>
  <c r="F16" i="15"/>
  <c r="F15" i="15"/>
  <c r="F13" i="15"/>
  <c r="F12" i="15"/>
  <c r="F11" i="15"/>
  <c r="H24" i="5" l="1"/>
  <c r="H26" i="5" s="1"/>
  <c r="F17" i="15"/>
  <c r="H36" i="5" l="1"/>
  <c r="P26" i="5"/>
  <c r="H50" i="5"/>
  <c r="H59" i="5" l="1"/>
  <c r="H70" i="5" l="1"/>
  <c r="H67" i="5"/>
  <c r="M57"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C47" authorId="0" shapeId="0" xr:uid="{00000000-0006-0000-0000-000001000000}">
      <text>
        <r>
          <rPr>
            <b/>
            <sz val="9"/>
            <color indexed="81"/>
            <rFont val="Tahoma"/>
            <family val="2"/>
          </rPr>
          <t>John Ray:</t>
        </r>
        <r>
          <rPr>
            <sz val="9"/>
            <color indexed="81"/>
            <rFont val="Tahoma"/>
            <family val="2"/>
          </rPr>
          <t xml:space="preserve">
85100+85200</t>
        </r>
      </text>
    </comment>
    <comment ref="C48" authorId="0" shapeId="0" xr:uid="{00000000-0006-0000-0000-000002000000}">
      <text>
        <r>
          <rPr>
            <b/>
            <sz val="9"/>
            <color indexed="81"/>
            <rFont val="Tahoma"/>
            <family val="2"/>
          </rPr>
          <t>John Ray:</t>
        </r>
        <r>
          <rPr>
            <sz val="9"/>
            <color indexed="81"/>
            <rFont val="Tahoma"/>
            <family val="2"/>
          </rPr>
          <t xml:space="preserve">
85300+81150</t>
        </r>
      </text>
    </comment>
    <comment ref="C52" authorId="0" shapeId="0" xr:uid="{00000000-0006-0000-0000-000003000000}">
      <text>
        <r>
          <rPr>
            <b/>
            <sz val="9"/>
            <color indexed="81"/>
            <rFont val="Tahoma"/>
            <family val="2"/>
          </rPr>
          <t>John Ray:</t>
        </r>
        <r>
          <rPr>
            <sz val="9"/>
            <color indexed="81"/>
            <rFont val="Tahoma"/>
            <family val="2"/>
          </rPr>
          <t xml:space="preserve">
80060+81100
</t>
        </r>
      </text>
    </comment>
    <comment ref="C53" authorId="0" shapeId="0" xr:uid="{00000000-0006-0000-0000-000004000000}">
      <text>
        <r>
          <rPr>
            <b/>
            <sz val="9"/>
            <color indexed="81"/>
            <rFont val="Tahoma"/>
            <family val="2"/>
          </rPr>
          <t>John Ray:</t>
        </r>
        <r>
          <rPr>
            <sz val="9"/>
            <color indexed="81"/>
            <rFont val="Tahoma"/>
            <family val="2"/>
          </rPr>
          <t xml:space="preserve">
80060+81100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K20" authorId="0" shapeId="0" xr:uid="{00000000-0006-0000-0F00-000001000000}">
      <text>
        <r>
          <rPr>
            <b/>
            <sz val="9"/>
            <color indexed="81"/>
            <rFont val="Tahoma"/>
            <family val="2"/>
          </rPr>
          <t>John Ray:</t>
        </r>
        <r>
          <rPr>
            <sz val="9"/>
            <color indexed="81"/>
            <rFont val="Tahoma"/>
            <family val="2"/>
          </rPr>
          <t xml:space="preserve">
Gain from Philly Ins Claim, see Dec 18th</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C45" authorId="0" shapeId="0" xr:uid="{00000000-0006-0000-1000-000001000000}">
      <text>
        <r>
          <rPr>
            <b/>
            <sz val="9"/>
            <color indexed="81"/>
            <rFont val="Tahoma"/>
            <family val="2"/>
          </rPr>
          <t>John Ray:</t>
        </r>
        <r>
          <rPr>
            <sz val="9"/>
            <color indexed="81"/>
            <rFont val="Tahoma"/>
            <family val="2"/>
          </rPr>
          <t xml:space="preserve">
85100+85200</t>
        </r>
      </text>
    </comment>
    <comment ref="C46" authorId="0" shapeId="0" xr:uid="{00000000-0006-0000-1000-000002000000}">
      <text>
        <r>
          <rPr>
            <b/>
            <sz val="9"/>
            <color indexed="81"/>
            <rFont val="Tahoma"/>
            <family val="2"/>
          </rPr>
          <t>John Ray:</t>
        </r>
        <r>
          <rPr>
            <sz val="9"/>
            <color indexed="81"/>
            <rFont val="Tahoma"/>
            <family val="2"/>
          </rPr>
          <t xml:space="preserve">
85300+81150</t>
        </r>
      </text>
    </comment>
    <comment ref="C51" authorId="0" shapeId="0" xr:uid="{00000000-0006-0000-1000-000003000000}">
      <text>
        <r>
          <rPr>
            <b/>
            <sz val="9"/>
            <color indexed="81"/>
            <rFont val="Tahoma"/>
            <family val="2"/>
          </rPr>
          <t>John Ray:</t>
        </r>
        <r>
          <rPr>
            <sz val="9"/>
            <color indexed="81"/>
            <rFont val="Tahoma"/>
            <family val="2"/>
          </rPr>
          <t xml:space="preserve">
80060+81100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C42" authorId="0" shapeId="0" xr:uid="{00000000-0006-0000-1200-000001000000}">
      <text>
        <r>
          <rPr>
            <b/>
            <sz val="9"/>
            <color indexed="81"/>
            <rFont val="Tahoma"/>
            <family val="2"/>
          </rPr>
          <t>John Ray:</t>
        </r>
        <r>
          <rPr>
            <sz val="9"/>
            <color indexed="81"/>
            <rFont val="Tahoma"/>
            <family val="2"/>
          </rPr>
          <t xml:space="preserve">
85100+85200</t>
        </r>
      </text>
    </comment>
    <comment ref="C43" authorId="0" shapeId="0" xr:uid="{00000000-0006-0000-1200-000002000000}">
      <text>
        <r>
          <rPr>
            <b/>
            <sz val="9"/>
            <color indexed="81"/>
            <rFont val="Tahoma"/>
            <family val="2"/>
          </rPr>
          <t>John Ray:</t>
        </r>
        <r>
          <rPr>
            <sz val="9"/>
            <color indexed="81"/>
            <rFont val="Tahoma"/>
            <family val="2"/>
          </rPr>
          <t xml:space="preserve">
85300+81150</t>
        </r>
      </text>
    </comment>
    <comment ref="C49" authorId="0" shapeId="0" xr:uid="{00000000-0006-0000-1200-000003000000}">
      <text>
        <r>
          <rPr>
            <b/>
            <sz val="9"/>
            <color indexed="81"/>
            <rFont val="Tahoma"/>
            <family val="2"/>
          </rPr>
          <t>John Ray:</t>
        </r>
        <r>
          <rPr>
            <sz val="9"/>
            <color indexed="81"/>
            <rFont val="Tahoma"/>
            <family val="2"/>
          </rPr>
          <t xml:space="preserve">
80060+81100
</t>
        </r>
      </text>
    </comment>
    <comment ref="C50" authorId="0" shapeId="0" xr:uid="{00000000-0006-0000-1200-000004000000}">
      <text>
        <r>
          <rPr>
            <b/>
            <sz val="9"/>
            <color indexed="81"/>
            <rFont val="Tahoma"/>
            <family val="2"/>
          </rPr>
          <t>John Ray:</t>
        </r>
        <r>
          <rPr>
            <sz val="9"/>
            <color indexed="81"/>
            <rFont val="Tahoma"/>
            <family val="2"/>
          </rPr>
          <t xml:space="preserve">
80060+81100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C42" authorId="0" shapeId="0" xr:uid="{00000000-0006-0000-0100-000001000000}">
      <text>
        <r>
          <rPr>
            <b/>
            <sz val="9"/>
            <color indexed="81"/>
            <rFont val="Tahoma"/>
            <family val="2"/>
          </rPr>
          <t>John Ray:</t>
        </r>
        <r>
          <rPr>
            <sz val="9"/>
            <color indexed="81"/>
            <rFont val="Tahoma"/>
            <family val="2"/>
          </rPr>
          <t xml:space="preserve">
85100+85200</t>
        </r>
      </text>
    </comment>
    <comment ref="C43" authorId="0" shapeId="0" xr:uid="{00000000-0006-0000-0100-000002000000}">
      <text>
        <r>
          <rPr>
            <b/>
            <sz val="9"/>
            <color indexed="81"/>
            <rFont val="Tahoma"/>
            <family val="2"/>
          </rPr>
          <t>John Ray:</t>
        </r>
        <r>
          <rPr>
            <sz val="9"/>
            <color indexed="81"/>
            <rFont val="Tahoma"/>
            <family val="2"/>
          </rPr>
          <t xml:space="preserve">
85300+81150</t>
        </r>
      </text>
    </comment>
    <comment ref="C47" authorId="0" shapeId="0" xr:uid="{00000000-0006-0000-0100-000003000000}">
      <text>
        <r>
          <rPr>
            <b/>
            <sz val="9"/>
            <color indexed="81"/>
            <rFont val="Tahoma"/>
            <family val="2"/>
          </rPr>
          <t>John Ray:</t>
        </r>
        <r>
          <rPr>
            <sz val="9"/>
            <color indexed="81"/>
            <rFont val="Tahoma"/>
            <family val="2"/>
          </rPr>
          <t xml:space="preserve">
80060+81100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C43" authorId="0" shapeId="0" xr:uid="{D79F8756-FE5D-4A78-9C68-37A3AEEE5E4B}">
      <text>
        <r>
          <rPr>
            <b/>
            <sz val="9"/>
            <color indexed="81"/>
            <rFont val="Tahoma"/>
            <family val="2"/>
          </rPr>
          <t>John Ray:</t>
        </r>
        <r>
          <rPr>
            <sz val="9"/>
            <color indexed="81"/>
            <rFont val="Tahoma"/>
            <family val="2"/>
          </rPr>
          <t xml:space="preserve">
85100+85200</t>
        </r>
      </text>
    </comment>
    <comment ref="C44" authorId="0" shapeId="0" xr:uid="{6745B673-1D17-47F1-A0E5-83071F6DA016}">
      <text>
        <r>
          <rPr>
            <b/>
            <sz val="9"/>
            <color indexed="81"/>
            <rFont val="Tahoma"/>
            <family val="2"/>
          </rPr>
          <t>John Ray:</t>
        </r>
        <r>
          <rPr>
            <sz val="9"/>
            <color indexed="81"/>
            <rFont val="Tahoma"/>
            <family val="2"/>
          </rPr>
          <t xml:space="preserve">
85300+81150</t>
        </r>
      </text>
    </comment>
    <comment ref="C48" authorId="0" shapeId="0" xr:uid="{C4BC823B-3D16-4130-9984-A3E565FF81B2}">
      <text>
        <r>
          <rPr>
            <b/>
            <sz val="9"/>
            <color indexed="81"/>
            <rFont val="Tahoma"/>
            <family val="2"/>
          </rPr>
          <t>John Ray:</t>
        </r>
        <r>
          <rPr>
            <sz val="9"/>
            <color indexed="81"/>
            <rFont val="Tahoma"/>
            <family val="2"/>
          </rPr>
          <t xml:space="preserve">
80060+81100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C49" authorId="0" shapeId="0" xr:uid="{00000000-0006-0000-0500-000001000000}">
      <text>
        <r>
          <rPr>
            <b/>
            <sz val="9"/>
            <color indexed="81"/>
            <rFont val="Tahoma"/>
            <family val="2"/>
          </rPr>
          <t>John Ray:</t>
        </r>
        <r>
          <rPr>
            <sz val="9"/>
            <color indexed="81"/>
            <rFont val="Tahoma"/>
            <family val="2"/>
          </rPr>
          <t xml:space="preserve">
85100+85200</t>
        </r>
      </text>
    </comment>
    <comment ref="C50" authorId="0" shapeId="0" xr:uid="{00000000-0006-0000-0500-000002000000}">
      <text>
        <r>
          <rPr>
            <b/>
            <sz val="9"/>
            <color indexed="81"/>
            <rFont val="Tahoma"/>
            <family val="2"/>
          </rPr>
          <t>John Ray:</t>
        </r>
        <r>
          <rPr>
            <sz val="9"/>
            <color indexed="81"/>
            <rFont val="Tahoma"/>
            <family val="2"/>
          </rPr>
          <t xml:space="preserve">
85300+81150</t>
        </r>
      </text>
    </comment>
    <comment ref="C54" authorId="0" shapeId="0" xr:uid="{00000000-0006-0000-0500-000003000000}">
      <text>
        <r>
          <rPr>
            <b/>
            <sz val="9"/>
            <color indexed="81"/>
            <rFont val="Tahoma"/>
            <family val="2"/>
          </rPr>
          <t>John Ray:</t>
        </r>
        <r>
          <rPr>
            <sz val="9"/>
            <color indexed="81"/>
            <rFont val="Tahoma"/>
            <family val="2"/>
          </rPr>
          <t xml:space="preserve">
80060+81100
</t>
        </r>
      </text>
    </comment>
    <comment ref="C55" authorId="0" shapeId="0" xr:uid="{00000000-0006-0000-0500-000004000000}">
      <text>
        <r>
          <rPr>
            <b/>
            <sz val="9"/>
            <color indexed="81"/>
            <rFont val="Tahoma"/>
            <family val="2"/>
          </rPr>
          <t>John Ray:</t>
        </r>
        <r>
          <rPr>
            <sz val="9"/>
            <color indexed="81"/>
            <rFont val="Tahoma"/>
            <family val="2"/>
          </rPr>
          <t xml:space="preserve">
80060+81100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C34" authorId="0" shapeId="0" xr:uid="{00000000-0006-0000-0900-000003000000}">
      <text>
        <r>
          <rPr>
            <b/>
            <sz val="9"/>
            <color indexed="81"/>
            <rFont val="Tahoma"/>
            <family val="2"/>
          </rPr>
          <t>John Ray:</t>
        </r>
        <r>
          <rPr>
            <sz val="9"/>
            <color indexed="81"/>
            <rFont val="Tahoma"/>
            <family val="2"/>
          </rPr>
          <t xml:space="preserve">
80060+81100
</t>
        </r>
      </text>
    </comment>
    <comment ref="C48" authorId="0" shapeId="0" xr:uid="{00000000-0006-0000-0900-000002000000}">
      <text>
        <r>
          <rPr>
            <b/>
            <sz val="9"/>
            <color indexed="81"/>
            <rFont val="Tahoma"/>
            <family val="2"/>
          </rPr>
          <t>John Ray:</t>
        </r>
        <r>
          <rPr>
            <sz val="9"/>
            <color indexed="81"/>
            <rFont val="Tahoma"/>
            <family val="2"/>
          </rPr>
          <t xml:space="preserve">
85300+81150</t>
        </r>
      </text>
    </comment>
    <comment ref="C49" authorId="0" shapeId="0" xr:uid="{00000000-0006-0000-0900-000001000000}">
      <text>
        <r>
          <rPr>
            <b/>
            <sz val="9"/>
            <color indexed="81"/>
            <rFont val="Tahoma"/>
            <family val="2"/>
          </rPr>
          <t>John Ray:</t>
        </r>
        <r>
          <rPr>
            <sz val="9"/>
            <color indexed="81"/>
            <rFont val="Tahoma"/>
            <family val="2"/>
          </rPr>
          <t xml:space="preserve">
85100+85200</t>
        </r>
      </text>
    </comment>
    <comment ref="C54" authorId="0" shapeId="0" xr:uid="{00000000-0006-0000-0900-000004000000}">
      <text>
        <r>
          <rPr>
            <b/>
            <sz val="9"/>
            <color indexed="81"/>
            <rFont val="Tahoma"/>
            <family val="2"/>
          </rPr>
          <t>John Ray:</t>
        </r>
        <r>
          <rPr>
            <sz val="9"/>
            <color indexed="81"/>
            <rFont val="Tahoma"/>
            <family val="2"/>
          </rPr>
          <t xml:space="preserve">
80060+81100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C17" authorId="0" shapeId="0" xr:uid="{00000000-0006-0000-0A00-000001000000}">
      <text>
        <r>
          <rPr>
            <b/>
            <sz val="9"/>
            <color indexed="81"/>
            <rFont val="Tahoma"/>
            <family val="2"/>
          </rPr>
          <t>John Ray:</t>
        </r>
        <r>
          <rPr>
            <sz val="9"/>
            <color indexed="81"/>
            <rFont val="Tahoma"/>
            <family val="2"/>
          </rPr>
          <t xml:space="preserve">
85300+81150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tc={D2AAE105-F2BC-41AE-8225-C626ED6F0CC6}</author>
  </authors>
  <commentList>
    <comment ref="J53" authorId="0" shapeId="0" xr:uid="{D2AAE105-F2BC-41AE-8225-C626ED6F0CC6}">
      <text>
        <t>[Threaded comment]
Your version of Excel allows you to read this threaded comment; however, any edits to it will get removed if the file is opened in a newer version of Excel. Learn more: https://go.microsoft.com/fwlink/?linkid=870924
Comment:
    Corrected on 1/31/2028: includes Mother Cab, Dyson &amp; Transport</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C34" authorId="0" shapeId="0" xr:uid="{F029672A-B28C-4C47-95DE-E9500D1A0E65}">
      <text>
        <r>
          <rPr>
            <b/>
            <sz val="9"/>
            <color indexed="81"/>
            <rFont val="Tahoma"/>
            <family val="2"/>
          </rPr>
          <t>John Ray:</t>
        </r>
        <r>
          <rPr>
            <sz val="9"/>
            <color indexed="81"/>
            <rFont val="Tahoma"/>
            <family val="2"/>
          </rPr>
          <t xml:space="preserve">
80060+81100
</t>
        </r>
      </text>
    </comment>
    <comment ref="C48" authorId="0" shapeId="0" xr:uid="{F05400C1-FF7B-4593-A73C-8D731226119B}">
      <text>
        <r>
          <rPr>
            <b/>
            <sz val="9"/>
            <color indexed="81"/>
            <rFont val="Tahoma"/>
            <family val="2"/>
          </rPr>
          <t>John Ray:</t>
        </r>
        <r>
          <rPr>
            <sz val="9"/>
            <color indexed="81"/>
            <rFont val="Tahoma"/>
            <family val="2"/>
          </rPr>
          <t xml:space="preserve">
85300+81150</t>
        </r>
      </text>
    </comment>
    <comment ref="C49" authorId="0" shapeId="0" xr:uid="{99680399-673B-49E2-91B4-F831610F94BA}">
      <text>
        <r>
          <rPr>
            <b/>
            <sz val="9"/>
            <color indexed="81"/>
            <rFont val="Tahoma"/>
            <family val="2"/>
          </rPr>
          <t>John Ray:</t>
        </r>
        <r>
          <rPr>
            <sz val="9"/>
            <color indexed="81"/>
            <rFont val="Tahoma"/>
            <family val="2"/>
          </rPr>
          <t xml:space="preserve">
85100+85200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tc={0DFA57E9-9FC2-4F99-B472-5CCADDE53003}</author>
  </authors>
  <commentList>
    <comment ref="J48" authorId="0" shapeId="0" xr:uid="{0DFA57E9-9FC2-4F99-B472-5CCADDE53003}">
      <text>
        <t>[Threaded comment]
Your version of Excel allows you to read this threaded comment; however, any edits to it will get removed if the file is opened in a newer version of Excel. Learn more: https://go.microsoft.com/fwlink/?linkid=870924
Comment:
    Corrected on 1/31/2028: includes Mother Cab, Dyson &amp; Transport</t>
      </text>
    </comment>
  </commentList>
</comments>
</file>

<file path=xl/sharedStrings.xml><?xml version="1.0" encoding="utf-8"?>
<sst xmlns="http://schemas.openxmlformats.org/spreadsheetml/2006/main" count="1742" uniqueCount="747">
  <si>
    <t>Columbia County Community Healthcare Consortium, Inc.</t>
  </si>
  <si>
    <t>Grant No.</t>
  </si>
  <si>
    <t>Start Date</t>
  </si>
  <si>
    <t>End Date</t>
  </si>
  <si>
    <t>Deferred Revenue</t>
  </si>
  <si>
    <t>Jan Koweek Memorial Fund-Restricted to Health Use</t>
  </si>
  <si>
    <t>Cancer Donations - Columbia County</t>
  </si>
  <si>
    <t>Cancer Donations - Greene County</t>
  </si>
  <si>
    <t>Grant/Contract Budget</t>
  </si>
  <si>
    <t>Unspent Funds</t>
  </si>
  <si>
    <t>Foundation for Community Health</t>
  </si>
  <si>
    <t>Funder</t>
  </si>
  <si>
    <t>NYSDOH</t>
  </si>
  <si>
    <t>Transportation Services</t>
  </si>
  <si>
    <t>CoCo Office for the Aging</t>
  </si>
  <si>
    <t>Dyson Foundation</t>
  </si>
  <si>
    <t>Alternative Cancer Treatments</t>
  </si>
  <si>
    <t xml:space="preserve"> Unspent Funds</t>
  </si>
  <si>
    <t>Donations</t>
  </si>
  <si>
    <t>Subcontract</t>
  </si>
  <si>
    <t>Program Name</t>
  </si>
  <si>
    <t>Contract Amount</t>
  </si>
  <si>
    <t>Description</t>
  </si>
  <si>
    <t>none</t>
  </si>
  <si>
    <t>Actual Expenses Contract YTD</t>
  </si>
  <si>
    <t>Income Received Contract YTD</t>
  </si>
  <si>
    <t xml:space="preserve">Foundation revenue subtotal </t>
  </si>
  <si>
    <t>Interest Received on Late Payments from NYS</t>
  </si>
  <si>
    <t>REVENUES, SUPPORTS, AND EXPENSES</t>
  </si>
  <si>
    <t>Category</t>
  </si>
  <si>
    <t>Interest</t>
  </si>
  <si>
    <t>Grants subtotal</t>
  </si>
  <si>
    <t>All other revenue subtotal</t>
  </si>
  <si>
    <t>FOUNDATION REVENUE (all sources of revenue providing advance payment of funds, which may be carried over from one fiscal year to the next)</t>
  </si>
  <si>
    <t>Amount</t>
  </si>
  <si>
    <t>FQHC Feasibility Study</t>
  </si>
  <si>
    <t>HRSA</t>
  </si>
  <si>
    <t>Private Donor</t>
  </si>
  <si>
    <t>Reimbursements for transportation costs</t>
  </si>
  <si>
    <t>Difference</t>
  </si>
  <si>
    <t>Transportation</t>
  </si>
  <si>
    <t>Medicaid - Transportation</t>
  </si>
  <si>
    <t>Total Transportation</t>
  </si>
  <si>
    <t>AR from Above</t>
  </si>
  <si>
    <t>Last updated March 15, 2012</t>
  </si>
  <si>
    <t>ASSETS</t>
  </si>
  <si>
    <t>Amount $</t>
  </si>
  <si>
    <t>Current Assets</t>
  </si>
  <si>
    <t>Checking/Savings</t>
  </si>
  <si>
    <t>Total Checking/Savings</t>
  </si>
  <si>
    <t>Accounts Receivable</t>
  </si>
  <si>
    <t>Other Current Assets</t>
  </si>
  <si>
    <t>Total Other Current Assets</t>
  </si>
  <si>
    <t>Total Current Assets</t>
  </si>
  <si>
    <t>Fixed Assets</t>
  </si>
  <si>
    <t>TOTAL ASSETS</t>
  </si>
  <si>
    <t>LIABILITIES &amp; EQUITY</t>
  </si>
  <si>
    <t>LIABILITIES</t>
  </si>
  <si>
    <t>Current Liabilities</t>
  </si>
  <si>
    <t>EQUITY</t>
  </si>
  <si>
    <t>TOTAL EQUITY</t>
  </si>
  <si>
    <t>TOTAL LIABILITIES &amp; EQUITY</t>
  </si>
  <si>
    <t>Rural Health Network</t>
  </si>
  <si>
    <t>Tobacco-Free Action</t>
  </si>
  <si>
    <t>Integrated Cancer Services Program</t>
  </si>
  <si>
    <t>Total Integrated Cancer Services Program</t>
  </si>
  <si>
    <t>Total FQHC Feasibility Study</t>
  </si>
  <si>
    <t xml:space="preserve">Medicaid </t>
  </si>
  <si>
    <t>Total  · Current Liabilities</t>
  </si>
  <si>
    <t>Total  · Payroll Liabilities</t>
  </si>
  <si>
    <t>Payroll Liabilities</t>
  </si>
  <si>
    <t>Total Current &amp; Payroll Liabilities</t>
  </si>
  <si>
    <t>Operating - First Niagara</t>
  </si>
  <si>
    <t>Money Market - First Niagara</t>
  </si>
  <si>
    <t>Petty Cash</t>
  </si>
  <si>
    <t>Prepaid Accounts</t>
  </si>
  <si>
    <t>Furniture and Equipment</t>
  </si>
  <si>
    <t>Mini Bus</t>
  </si>
  <si>
    <t>Vehicles</t>
  </si>
  <si>
    <t>Less: Accumulated Depreciation</t>
  </si>
  <si>
    <t>Other Accrued Expenses</t>
  </si>
  <si>
    <t>Unrestricted Net Assets</t>
  </si>
  <si>
    <t>Change in Net Assets</t>
  </si>
  <si>
    <t>Accrued Wages &amp; Taxes</t>
  </si>
  <si>
    <t>Accrued Compensating Absences</t>
  </si>
  <si>
    <t>Health Insurance Payable</t>
  </si>
  <si>
    <t>Dental Insurance Payable</t>
  </si>
  <si>
    <t xml:space="preserve">Temporarily Restricted </t>
  </si>
  <si>
    <t xml:space="preserve">Facilitated Enrollment Program </t>
  </si>
  <si>
    <t>Grant Advance Liability</t>
  </si>
  <si>
    <t>Columbia County Community Healthcare Consortium , Inc.</t>
  </si>
  <si>
    <t>Advance Funding Payable</t>
  </si>
  <si>
    <t>Credit Card - Payable</t>
  </si>
  <si>
    <t>Donations from Transport. Clients</t>
  </si>
  <si>
    <t>Total Grant Advances</t>
  </si>
  <si>
    <t>Closed</t>
  </si>
  <si>
    <t>Revenue and Support</t>
  </si>
  <si>
    <t>Grants - New York State</t>
  </si>
  <si>
    <t>Columbia County Departments</t>
  </si>
  <si>
    <t>Donations - Transportation</t>
  </si>
  <si>
    <t>In-Kind Rent</t>
  </si>
  <si>
    <t>Total Revenue and Support</t>
  </si>
  <si>
    <t>Assets Released from Restrictions</t>
  </si>
  <si>
    <t>Total Revenue and Other Support</t>
  </si>
  <si>
    <t>Changes in Unrestricted Net Assets</t>
  </si>
  <si>
    <t>In-Kind Rent - Columbia County</t>
  </si>
  <si>
    <t>Interest - Bank Accounts</t>
  </si>
  <si>
    <t>Expenses:</t>
  </si>
  <si>
    <t>Salaries</t>
  </si>
  <si>
    <t>Payroll Taxes and Benefits</t>
  </si>
  <si>
    <t>Rents/Storage</t>
  </si>
  <si>
    <t>Telephone</t>
  </si>
  <si>
    <t>Postage</t>
  </si>
  <si>
    <t>Office Supplies</t>
  </si>
  <si>
    <t>Program Supplies</t>
  </si>
  <si>
    <t>Medical, Prescriptions &amp; Financial Assistance</t>
  </si>
  <si>
    <t>Printing and Copying</t>
  </si>
  <si>
    <t>Dues &amp; Subscriptions</t>
  </si>
  <si>
    <t>Network/Computer/Website</t>
  </si>
  <si>
    <t>Insurance</t>
  </si>
  <si>
    <t>Sponsored Events</t>
  </si>
  <si>
    <t>Depreciation</t>
  </si>
  <si>
    <t>Contract Professional/Subcontractor Fees</t>
  </si>
  <si>
    <t>Advertising &amp; Promotion</t>
  </si>
  <si>
    <t>Total Expenses</t>
  </si>
  <si>
    <t>Change in Unrestricted Net Assets</t>
  </si>
  <si>
    <t>Staff Development &amp; Board Recognition</t>
  </si>
  <si>
    <t>Current Month</t>
  </si>
  <si>
    <t>Previous Month</t>
  </si>
  <si>
    <t>Three Months Ago</t>
  </si>
  <si>
    <t>Older than Three Months</t>
  </si>
  <si>
    <t>Office for the Aging - Senior Transportation</t>
  </si>
  <si>
    <t>Total Tobacco-Free Action</t>
  </si>
  <si>
    <t>Total Facilitated Enrollment Program</t>
  </si>
  <si>
    <t>ALL OTHER REVENUE</t>
  </si>
  <si>
    <t>OFA: NY Connects, Senior Transportation</t>
  </si>
  <si>
    <t>Financial Assistant Funds</t>
  </si>
  <si>
    <t>Contributions:</t>
  </si>
  <si>
    <t>Columbia County Government</t>
  </si>
  <si>
    <t>Net Assets, End of Period</t>
  </si>
  <si>
    <t>Net Assets, Beginning of Period</t>
  </si>
  <si>
    <t>Miscellaneous Revenue - NYS Interest &amp; Others</t>
  </si>
  <si>
    <t>Transportation-SUNY</t>
  </si>
  <si>
    <t>Donations to CCCHC</t>
  </si>
  <si>
    <t xml:space="preserve">Grants Receivable </t>
  </si>
  <si>
    <t xml:space="preserve">Accounts Payable </t>
  </si>
  <si>
    <t xml:space="preserve">Transportation - Medicaid </t>
  </si>
  <si>
    <t>IPA/Navigator Program</t>
  </si>
  <si>
    <t>Total IPA/Navigator Program</t>
  </si>
  <si>
    <t>NYSDOH 01/13 to 12/13 (Ends Oct 2013)</t>
  </si>
  <si>
    <t>Total Rural Health Network</t>
  </si>
  <si>
    <t>Accrued-Medicaid Billing Error</t>
  </si>
  <si>
    <t>Prepaid Expenses</t>
  </si>
  <si>
    <t>GRANT AND CONTRACT REVENUE (all sources of revenue operating on a reimbursement basis, occurring on a contract rather than fiscal year, and w/o carryover from one contract year to the next)</t>
  </si>
  <si>
    <t>Dept. of Human Services</t>
  </si>
  <si>
    <t>Miscellaneous Receivable</t>
  </si>
  <si>
    <t>Donations - Others</t>
  </si>
  <si>
    <t>Income Received YTD</t>
  </si>
  <si>
    <t>Actual Expenses YTD</t>
  </si>
  <si>
    <t>Gain on Sale of Vehicles</t>
  </si>
  <si>
    <r>
      <t xml:space="preserve">Transportation Services </t>
    </r>
    <r>
      <rPr>
        <sz val="9"/>
        <color rgb="FF000000"/>
        <rFont val="Arial"/>
        <family val="2"/>
      </rPr>
      <t>(Fuel, Repairs, Lease, Insurance &amp; Licenses)</t>
    </r>
  </si>
  <si>
    <t>Audit &amp; Tax Preparation</t>
  </si>
  <si>
    <t>CSP Patient Services - NYS &amp; Federal</t>
  </si>
  <si>
    <r>
      <t xml:space="preserve">Statement of Financial Position </t>
    </r>
    <r>
      <rPr>
        <b/>
        <sz val="11"/>
        <color theme="1"/>
        <rFont val="Calibri"/>
        <family val="2"/>
        <scheme val="minor"/>
      </rPr>
      <t>(Balance Sheet)</t>
    </r>
  </si>
  <si>
    <r>
      <t xml:space="preserve">Columbia County Departments </t>
    </r>
    <r>
      <rPr>
        <sz val="10"/>
        <color rgb="FF000000"/>
        <rFont val="Arial"/>
        <family val="2"/>
      </rPr>
      <t>(C.A.R.T.S)</t>
    </r>
  </si>
  <si>
    <t>Expenses from 01/2014 to 8/2014</t>
  </si>
  <si>
    <t>Finance &amp; Budget Committee Meeting</t>
  </si>
  <si>
    <t xml:space="preserve">   Fiscal Highlights</t>
  </si>
  <si>
    <t>Grants - Federal (HRI)</t>
  </si>
  <si>
    <t>Other Receipts of Interest:</t>
  </si>
  <si>
    <t>Columbia County Dept. of Human Services</t>
  </si>
  <si>
    <t>Total Columbia County Dept. Human Services</t>
  </si>
  <si>
    <t>Operating - Bank of Greene Co.</t>
  </si>
  <si>
    <t>Payroll - Bank of Greene Co.</t>
  </si>
  <si>
    <t>Greene County DSS</t>
  </si>
  <si>
    <t>Remarks</t>
  </si>
  <si>
    <t>$ Change</t>
  </si>
  <si>
    <t>Statement of Financial Position</t>
  </si>
  <si>
    <t>Current Assets:</t>
  </si>
  <si>
    <t>Cash and Cash Equivalents</t>
  </si>
  <si>
    <t>Grant Receivable</t>
  </si>
  <si>
    <t>Investments</t>
  </si>
  <si>
    <t>Property and Equipment, Net of Accumulated Depreciation</t>
  </si>
  <si>
    <t>Current Liabilities:</t>
  </si>
  <si>
    <t>Accrued Wages and Benefits Payable</t>
  </si>
  <si>
    <t>Accrued Expenses</t>
  </si>
  <si>
    <t>Other Liability</t>
  </si>
  <si>
    <t>Net Assets:</t>
  </si>
  <si>
    <t>%</t>
  </si>
  <si>
    <t>NY Connects Expansion &amp; Enhancement Program</t>
  </si>
  <si>
    <t>Grants           Receivable</t>
  </si>
  <si>
    <t>COLA CSP Infrastructure</t>
  </si>
  <si>
    <t>Ratio of (Cash &amp; Receivables) to Liabilities</t>
  </si>
  <si>
    <t>Travel, Meals and Conferences</t>
  </si>
  <si>
    <t>Fund Name</t>
  </si>
  <si>
    <t xml:space="preserve">Beginning Balance at January 1st </t>
  </si>
  <si>
    <t>+ Contributions</t>
  </si>
  <si>
    <t>&lt;Distributions&gt;</t>
  </si>
  <si>
    <r>
      <t>Columbia County</t>
    </r>
    <r>
      <rPr>
        <sz val="11"/>
        <color theme="1"/>
        <rFont val="Times New Roman"/>
        <family val="1"/>
      </rPr>
      <t xml:space="preserve"> -</t>
    </r>
    <r>
      <rPr>
        <sz val="9"/>
        <color theme="1"/>
        <rFont val="Times New Roman"/>
        <family val="1"/>
      </rPr>
      <t>CARTS &amp; Receptionist</t>
    </r>
  </si>
  <si>
    <t>Columbia County Cancer Fund</t>
  </si>
  <si>
    <t>Greene County Cancer Fund</t>
  </si>
  <si>
    <t>Totals of Temporary Restricted Funds</t>
  </si>
  <si>
    <t>Total AP from Above</t>
  </si>
  <si>
    <t>Transportation Services (Quarterly Voucher)</t>
  </si>
  <si>
    <t>Grant Development Services (Quarterly Voucher)</t>
  </si>
  <si>
    <t>Investment</t>
  </si>
  <si>
    <t>Statement of Activities-Transportation</t>
  </si>
  <si>
    <t>Grants - New York State - Rural Health Network</t>
  </si>
  <si>
    <t>OFA: Senior Transportation</t>
  </si>
  <si>
    <t>Foundation Revenue-FCH-Sharon/Ancram/Copake</t>
  </si>
  <si>
    <t>In-Kind Rent - Columbia County (20%)</t>
  </si>
  <si>
    <t>Assets Released from Restrictions-CC Depts.</t>
  </si>
  <si>
    <t>Assets Released from Restrictions-Columbia Cty</t>
  </si>
  <si>
    <t>Salaries and Payroll Taxes &amp; Fringe</t>
  </si>
  <si>
    <t>Drivers</t>
  </si>
  <si>
    <t>Transportation Coordinators &amp; Support</t>
  </si>
  <si>
    <t xml:space="preserve">Vehicle Fuel </t>
  </si>
  <si>
    <t>Vehicle Insurance</t>
  </si>
  <si>
    <t>Vehicle Licenses &amp; Permits</t>
  </si>
  <si>
    <t>Depreciation-Vehicles</t>
  </si>
  <si>
    <t>Audit</t>
  </si>
  <si>
    <t>Office &amp; Program Supplies</t>
  </si>
  <si>
    <t>General Insurance</t>
  </si>
  <si>
    <t>Other Expenses</t>
  </si>
  <si>
    <t>Add Back Deprecation</t>
  </si>
  <si>
    <t>Net Cash</t>
  </si>
  <si>
    <t>Various Medical Providers</t>
  </si>
  <si>
    <t>Prescription Rx Access</t>
  </si>
  <si>
    <t>Transportation: Acram/Copake</t>
  </si>
  <si>
    <t>Total Advance Funding Payable</t>
  </si>
  <si>
    <t>Investment Income</t>
  </si>
  <si>
    <t>Foundation Revenue - FCH &amp; Dyson</t>
  </si>
  <si>
    <t>Income</t>
  </si>
  <si>
    <t xml:space="preserve">FCISX </t>
  </si>
  <si>
    <t xml:space="preserve">FRUGX </t>
  </si>
  <si>
    <t xml:space="preserve">FRGSX </t>
  </si>
  <si>
    <t>FCSCX</t>
  </si>
  <si>
    <t xml:space="preserve">FSGCX </t>
  </si>
  <si>
    <t>TEGBX</t>
  </si>
  <si>
    <t>Month in Service</t>
  </si>
  <si>
    <t>Funding Source</t>
  </si>
  <si>
    <t>Supplier</t>
  </si>
  <si>
    <t>Cost</t>
  </si>
  <si>
    <r>
      <rPr>
        <b/>
        <sz val="11"/>
        <color theme="1"/>
        <rFont val="Calibri"/>
        <family val="2"/>
        <scheme val="minor"/>
      </rPr>
      <t>TEGBX</t>
    </r>
    <r>
      <rPr>
        <sz val="11"/>
        <color theme="1"/>
        <rFont val="Arial"/>
        <family val="2"/>
      </rPr>
      <t xml:space="preserve">-Templeton Global Bond Fund Class C - Strategy: The Fund seeks current income with capital appreciation and growth of income by investing at least 80% of its net assets in "bonds." In addition, the Fund's assets will be invested in issuers located in at least three countries including the U.S.
</t>
    </r>
  </si>
  <si>
    <r>
      <rPr>
        <b/>
        <sz val="11"/>
        <color theme="1"/>
        <rFont val="Calibri"/>
        <family val="2"/>
        <scheme val="minor"/>
      </rPr>
      <t>FSGCX</t>
    </r>
    <r>
      <rPr>
        <sz val="11"/>
        <color theme="1"/>
        <rFont val="Arial"/>
        <family val="2"/>
      </rPr>
      <t xml:space="preserve">-Franklin Templeton Strategic Income Fund Class C - Strategy: The Fund seeks to earn a high level of current income. Its secondary goal is capital appreciation over the long term. The Fund invests at least 65% of its assets in U.S. and foreign debt securities.
</t>
    </r>
  </si>
  <si>
    <r>
      <rPr>
        <b/>
        <sz val="11"/>
        <color theme="1"/>
        <rFont val="Calibri"/>
        <family val="2"/>
        <scheme val="minor"/>
      </rPr>
      <t>FCSCX</t>
    </r>
    <r>
      <rPr>
        <sz val="11"/>
        <color theme="1"/>
        <rFont val="Arial"/>
        <family val="2"/>
      </rPr>
      <t xml:space="preserve">-Franklin Adjustable US Government Securities Fund Class C- Strategy: The Fund seeks a high level of current income while providing lower volatility of principal than a fund that invests in fixed-rate securities. The Fund invests at least 80% of its net assets in adjustable-rate U.S. government mortgage securities.
</t>
    </r>
  </si>
  <si>
    <r>
      <rPr>
        <b/>
        <sz val="11"/>
        <color theme="1"/>
        <rFont val="Calibri"/>
        <family val="2"/>
        <scheme val="minor"/>
      </rPr>
      <t>FRGSX</t>
    </r>
    <r>
      <rPr>
        <sz val="11"/>
        <color theme="1"/>
        <rFont val="Arial"/>
        <family val="2"/>
      </rPr>
      <t xml:space="preserve">-Franklin Growth Series Class C- Strategy: The Fund seeks capital appreciation. The Fund primarily invests in equity securities that are leaders in their industries.
</t>
    </r>
  </si>
  <si>
    <r>
      <rPr>
        <b/>
        <sz val="11"/>
        <color theme="1"/>
        <rFont val="Calibri"/>
        <family val="2"/>
        <scheme val="minor"/>
      </rPr>
      <t>FCISX</t>
    </r>
    <r>
      <rPr>
        <sz val="11"/>
        <color theme="1"/>
        <rFont val="Arial"/>
        <family val="2"/>
      </rPr>
      <t xml:space="preserve">-Franklin Income Series Class C- Strategy: The Fund seeks to maximize income while maintaining prospects for capital appreciation. The Fund will achieve this by investing in a diversified portfolio of debt and equity securities. 
</t>
    </r>
  </si>
  <si>
    <t>Columbia County Depts.-CARTS</t>
  </si>
  <si>
    <r>
      <rPr>
        <b/>
        <sz val="11"/>
        <color theme="1"/>
        <rFont val="Calibri"/>
        <family val="2"/>
        <scheme val="minor"/>
      </rPr>
      <t>FRUGX</t>
    </r>
    <r>
      <rPr>
        <sz val="11"/>
        <color theme="1"/>
        <rFont val="Arial"/>
        <family val="2"/>
      </rPr>
      <t xml:space="preserve">-Franklin US Government Securities Series Class C- Strategy: The Fund seeks income. Under normal market conditions, the Fund invests at least 80% of its net assets in U.S. government securities. The Fund presently invests substantially all of its assets in Government National Mortgage Association obligations (Ginnie Maes).
</t>
    </r>
  </si>
  <si>
    <t>Totals</t>
  </si>
  <si>
    <t>Ten Months Ended October 31, 2016 and 2015</t>
  </si>
  <si>
    <t>Bank Fees</t>
  </si>
  <si>
    <t>Date</t>
  </si>
  <si>
    <t>Balance</t>
  </si>
  <si>
    <t>Transportation Services (2017)</t>
  </si>
  <si>
    <t>Organizational Budget</t>
  </si>
  <si>
    <t>Twelve Months Ended December 31, 2017</t>
  </si>
  <si>
    <t>Less: Purchase of Vehicles</t>
  </si>
  <si>
    <t>NYSDOH Infrastructure Grant 04/17 to 03/18</t>
  </si>
  <si>
    <t>NYSDOH Clinical Services Grant 04/17 to 03/18</t>
  </si>
  <si>
    <t>Columbia County - Office of the Aging</t>
  </si>
  <si>
    <t>Columbia County</t>
  </si>
  <si>
    <t>Mileage</t>
  </si>
  <si>
    <t>Sold thru</t>
  </si>
  <si>
    <t>Vehicle Fuel &amp; Repairs</t>
  </si>
  <si>
    <t>CSP Clinical Services</t>
  </si>
  <si>
    <r>
      <t>è</t>
    </r>
    <r>
      <rPr>
        <b/>
        <sz val="12"/>
        <color theme="1"/>
        <rFont val="Times New Roman"/>
        <family val="1"/>
      </rPr>
      <t xml:space="preserve"> Miscellaneous Receivable</t>
    </r>
    <r>
      <rPr>
        <sz val="12"/>
        <color theme="1"/>
        <rFont val="Calibri"/>
        <family val="2"/>
      </rPr>
      <t xml:space="preserve"> - Auctions International owes Agency $3,350 for sale of 2010 Dodge Grand Caravan that was completed during the month of August. Funds received September 19, 2017.  </t>
    </r>
  </si>
  <si>
    <t xml:space="preserve">Transportation Services </t>
  </si>
  <si>
    <t>Weekly Medicaid Claim Revenue</t>
  </si>
  <si>
    <t>Week</t>
  </si>
  <si>
    <t>2012 Medicaid</t>
  </si>
  <si>
    <t>2013 Medicaid</t>
  </si>
  <si>
    <t>2014 Medicaid</t>
  </si>
  <si>
    <t>2015 Medicaid</t>
  </si>
  <si>
    <t>2016 Medicaid</t>
  </si>
  <si>
    <t>2017 Medicaid</t>
  </si>
  <si>
    <t xml:space="preserve">Wkly Medicaid </t>
  </si>
  <si>
    <t>Wkly Claims</t>
  </si>
  <si>
    <t>Variance ('17 vs.'16)</t>
  </si>
  <si>
    <t>1st Quarter Total</t>
  </si>
  <si>
    <t>2nd Quarter Total</t>
  </si>
  <si>
    <t>3rd Quarter Total</t>
  </si>
  <si>
    <t>4th Quarter Total</t>
  </si>
  <si>
    <t>YTD Totals</t>
  </si>
  <si>
    <t>Wkly Avg 1st Quarter</t>
  </si>
  <si>
    <t>Wkly Avg 2nd Quarter</t>
  </si>
  <si>
    <t>Wkly Avg 3rd Quarter</t>
  </si>
  <si>
    <t>Wkly Avg 4th Quarter</t>
  </si>
  <si>
    <t>Medicaid Revenue -Transportation</t>
  </si>
  <si>
    <t>Fund</t>
  </si>
  <si>
    <t>Percent Total Assets</t>
  </si>
  <si>
    <t>Unrealized Gain (Loss) on Investments</t>
  </si>
  <si>
    <t>Vehicle Maintenance &amp; Repairs</t>
  </si>
  <si>
    <t>CoCo Dept. of Human Services</t>
  </si>
  <si>
    <t>NYSDOH Infrastructure Grant 04/18 to 09/18</t>
  </si>
  <si>
    <t>NYSDOH Clinical Services Grant 04/18 to 09/18</t>
  </si>
  <si>
    <t>Vehicle mileage for period</t>
  </si>
  <si>
    <t>Number of Rides for period</t>
  </si>
  <si>
    <t>Number of Medicaid Rides for Period</t>
  </si>
  <si>
    <t>HRI Clinical Services 07/18 to 09/18</t>
  </si>
  <si>
    <t>Transportation Scheduling Software-RoutingBox</t>
  </si>
  <si>
    <t>Cost per mile (w/o depreciation&amp;rent)</t>
  </si>
  <si>
    <t>Transportation Services (2019)</t>
  </si>
  <si>
    <t>For the Year Ended December 31, 2019</t>
  </si>
  <si>
    <t>Grants - Federal (5310 Funding)</t>
  </si>
  <si>
    <t>Columbia County BOS</t>
  </si>
  <si>
    <t>Unrealized Gain on Investments</t>
  </si>
  <si>
    <t>Community Cancer Funds</t>
  </si>
  <si>
    <t>Gain on Sale of Vehicle</t>
  </si>
  <si>
    <t>The Research Foundation - SUNY (Women's Project)</t>
  </si>
  <si>
    <t>Legal</t>
  </si>
  <si>
    <t>Federal</t>
  </si>
  <si>
    <t>Total Fixed Assets-Net</t>
  </si>
  <si>
    <t>Columbia County Dept. of Human Services (Qrtly)</t>
  </si>
  <si>
    <t>Without Donor Restrictions</t>
  </si>
  <si>
    <t>With Donor Restrictions</t>
  </si>
  <si>
    <t>With Donor Restrictions Net Assets</t>
  </si>
  <si>
    <t>Statement of Activities</t>
  </si>
  <si>
    <t xml:space="preserve">Change in With Donor Restrictions </t>
  </si>
  <si>
    <t>Changes in With Donor Restrictions - Net Assets</t>
  </si>
  <si>
    <t>Columbia Memorial Hospital</t>
  </si>
  <si>
    <t>Misc. Revenue</t>
  </si>
  <si>
    <t>Beginning Balance at 01/01/2019</t>
  </si>
  <si>
    <t>Circulation</t>
  </si>
  <si>
    <t>Columbia Memorial Hospital-Comm Health Plan</t>
  </si>
  <si>
    <t>C34154GG</t>
  </si>
  <si>
    <t>Total Donor Restrictions</t>
  </si>
  <si>
    <t>Gain (Loss) on Sale of Vehicle</t>
  </si>
  <si>
    <t>Total Additions</t>
  </si>
  <si>
    <t>Total Sales</t>
  </si>
  <si>
    <t>Greene County DSS &amp; Others</t>
  </si>
  <si>
    <t>State</t>
  </si>
  <si>
    <t>Local</t>
  </si>
  <si>
    <t>Other</t>
  </si>
  <si>
    <t>Plug</t>
  </si>
  <si>
    <t>Annual Credit Sales</t>
  </si>
  <si>
    <t>Avg A?R</t>
  </si>
  <si>
    <t>A/R Ratio</t>
  </si>
  <si>
    <t>Days</t>
  </si>
  <si>
    <t>County</t>
  </si>
  <si>
    <t>Percent %</t>
  </si>
  <si>
    <t>Dyson</t>
  </si>
  <si>
    <t>Aging Percent %</t>
  </si>
  <si>
    <t>Additions:</t>
  </si>
  <si>
    <t>Month</t>
  </si>
  <si>
    <r>
      <t xml:space="preserve">è </t>
    </r>
    <r>
      <rPr>
        <sz val="12"/>
        <color theme="1"/>
        <rFont val="Times New Roman"/>
        <family val="1"/>
      </rPr>
      <t>Investment - Infinex Financial-Securities - Brief Description</t>
    </r>
  </si>
  <si>
    <t>C34567GG</t>
  </si>
  <si>
    <t>Funds Purchased/&lt;Sold&gt;</t>
  </si>
  <si>
    <t>FDYNX</t>
  </si>
  <si>
    <t>FRDTX</t>
  </si>
  <si>
    <t>Cash</t>
  </si>
  <si>
    <r>
      <rPr>
        <b/>
        <sz val="11"/>
        <color theme="1"/>
        <rFont val="Calibri"/>
        <family val="2"/>
        <scheme val="minor"/>
      </rPr>
      <t>FDYNX</t>
    </r>
    <r>
      <rPr>
        <sz val="11"/>
        <color theme="1"/>
        <rFont val="Arial"/>
        <family val="2"/>
      </rPr>
      <t>-Franklin Dynatech Class C Strategy: The fund seeks capital appreciation by investing primarily in companies which management believes are leaders in innovation, take advantage of new technologies, have superior management, and benefit from new industry conditions in the dynamically changing global economy.</t>
    </r>
  </si>
  <si>
    <r>
      <rPr>
        <b/>
        <sz val="11"/>
        <color theme="1"/>
        <rFont val="Calibri"/>
        <family val="2"/>
        <scheme val="minor"/>
      </rPr>
      <t>FRDTX</t>
    </r>
    <r>
      <rPr>
        <sz val="11"/>
        <color theme="1"/>
        <rFont val="Arial"/>
        <family val="2"/>
      </rPr>
      <t xml:space="preserve">-Franklin Rising Dividends Class C- Strategy: The fund seeks long-term capital appreciation by investing at least 80% of its net assets in companies of any size that have paid consistently rising dividends.
</t>
    </r>
  </si>
  <si>
    <t>Unrealized Gains, Gains &amp; Expenses</t>
  </si>
  <si>
    <t>Cost per Ride (w/o depreciation&amp;rent)</t>
  </si>
  <si>
    <t>Medicaid Revenue per Medicaid Ride</t>
  </si>
  <si>
    <t>NYSDOH - Navigator Health Exchange Program</t>
  </si>
  <si>
    <t>NYSDOH - Rural Health Network Program</t>
  </si>
  <si>
    <t xml:space="preserve">Donations </t>
  </si>
  <si>
    <t>Projections for the Years Ending December 31, 2019 and 2020</t>
  </si>
  <si>
    <t>Foundation Revenue-Foundation for Community Health</t>
  </si>
  <si>
    <t>Foundation Revenue-Dyson Foundation</t>
  </si>
  <si>
    <t>2019 vs. 2020</t>
  </si>
  <si>
    <t>Gain (Loss) on Sale of Vehicle- Ford Focus</t>
  </si>
  <si>
    <t>Telephone &amp; Internet</t>
  </si>
  <si>
    <t xml:space="preserve">General Operating Support (24-Months) </t>
  </si>
  <si>
    <t>Transportation-Vehicle &amp; Communication Upgrade</t>
  </si>
  <si>
    <r>
      <rPr>
        <b/>
        <sz val="11"/>
        <color theme="1"/>
        <rFont val="Calibri"/>
        <family val="2"/>
        <scheme val="minor"/>
      </rPr>
      <t>FLQL</t>
    </r>
    <r>
      <rPr>
        <sz val="11"/>
        <color theme="1"/>
        <rFont val="Calibri"/>
        <family val="2"/>
        <scheme val="minor"/>
      </rPr>
      <t xml:space="preserve">-Franklin LibertyQ US Equity ETF- Tracks a multi-factor index that aims to reduce market volatility and deliver a smoother investor experience over the long term. Seeks to provide investment results that closely correspond, before fees and expenses, to the performance of its corresponding underlying index, LibertyQ U.S. Large Cap Equity Index Pursues low downside capture and strong risk-adjusted returns over the long term. The index methodology employs a rules-based, custom multi-factor approach providing exposure to four well known factors: 50% Quality, 30% Value, 10% Momentum and 10% Low Volatility
</t>
    </r>
  </si>
  <si>
    <t>FLQL</t>
  </si>
  <si>
    <t>Diff Transportation CMH &amp; Circulation &amp; Other</t>
  </si>
  <si>
    <t>CoCo Dept of Health</t>
  </si>
  <si>
    <t>Grants - New York State - Assoc for Rural Health</t>
  </si>
  <si>
    <t>December'19 vs. '18</t>
  </si>
  <si>
    <t>Foundation Revenue-RipVan Winkle Foundation</t>
  </si>
  <si>
    <t>Credit Sales</t>
  </si>
  <si>
    <t>Ending Balance at 12/31/2019</t>
  </si>
  <si>
    <t>Rip Van Winkle Foundation</t>
  </si>
  <si>
    <r>
      <t>è</t>
    </r>
    <r>
      <rPr>
        <sz val="12"/>
        <color theme="1"/>
        <rFont val="Times New Roman"/>
        <family val="1"/>
      </rPr>
      <t xml:space="preserve"> </t>
    </r>
    <r>
      <rPr>
        <b/>
        <sz val="12"/>
        <color theme="1"/>
        <rFont val="Times New Roman"/>
        <family val="1"/>
      </rPr>
      <t>Accrued Expenses</t>
    </r>
    <r>
      <rPr>
        <sz val="12"/>
        <color theme="1"/>
        <rFont val="Calibri"/>
        <family val="2"/>
      </rPr>
      <t xml:space="preserve"> - As of December 31, 2019, we have accrued $21,664 for the agency's 2019 cost for the pension plan. The agency 401(k) employer contribution amount of $18,814 and third party administration of pension plan in the amount of $2,850</t>
    </r>
  </si>
  <si>
    <t>CC Dept of Health: HEALing Community Study</t>
  </si>
  <si>
    <r>
      <t xml:space="preserve">Transportation Services (2020)  </t>
    </r>
    <r>
      <rPr>
        <b/>
        <sz val="11"/>
        <color theme="1"/>
        <rFont val="Arial"/>
        <family val="2"/>
      </rPr>
      <t xml:space="preserve"> </t>
    </r>
  </si>
  <si>
    <t xml:space="preserve">Rip Van Winkle Foundation </t>
  </si>
  <si>
    <t>None</t>
  </si>
  <si>
    <t>Dept. of Health</t>
  </si>
  <si>
    <t>TOTAL  $</t>
  </si>
  <si>
    <t>Interest Expense on PPP Loan</t>
  </si>
  <si>
    <t>PPP Loan Liability</t>
  </si>
  <si>
    <t>Actual Revenue and Expenses            (Jan'20 to June'20)</t>
  </si>
  <si>
    <t>Budgeted Revenue and Expenses       (July'20 to Dec'20)</t>
  </si>
  <si>
    <t>Foundation Revenue-Triskeles Foundation</t>
  </si>
  <si>
    <t>Updated Operating Budget</t>
  </si>
  <si>
    <t xml:space="preserve">For the Year Ended December 31, 2020 </t>
  </si>
  <si>
    <t>Updated Operating Budget - December 31, 2020</t>
  </si>
  <si>
    <t>Original Operating Budget - December 31, 2020</t>
  </si>
  <si>
    <t>Variance &amp; %</t>
  </si>
  <si>
    <t xml:space="preserve">Foundation Revenue - </t>
  </si>
  <si>
    <t>Berkshire Taconic Foundation</t>
  </si>
  <si>
    <t>Revenue-Triskeles Foundation</t>
  </si>
  <si>
    <t>Miscellaneous Revenue</t>
  </si>
  <si>
    <t>Change in Unrestricted Net Assets Before Depreciation</t>
  </si>
  <si>
    <t>Change in Unrestricted Net Assets After Depreciation</t>
  </si>
  <si>
    <t>Assumptions:</t>
  </si>
  <si>
    <t xml:space="preserve">--&gt; Until we receive guidance, our PPP loan in the amount of $197.4K is being treated as a liability. </t>
  </si>
  <si>
    <t>--&gt; While always a chance our Navigator (8/1/20-7/31/21) budget will be reduced, we assumed budget will remain at current $330K level.</t>
  </si>
  <si>
    <t xml:space="preserve">--&gt; We assume going forward there will be a small increase in Medicaid revenue when compared to the first three months of the COVID-19 period. </t>
  </si>
  <si>
    <t>--&gt; Assumptions that current open positions will not be filled until the start of 2021 year.</t>
  </si>
  <si>
    <t>--&gt; All grants receivables deemed collectable and no allowance for uncollectables/bad debt.</t>
  </si>
  <si>
    <t>--&gt; We expect RHN's (1/20-12/20) &amp; Tobacco's (7/1/20-6/30/21) budget to be cut, updated operating budget assumes a 34% cut in budget in each program</t>
  </si>
  <si>
    <t xml:space="preserve">Transportation Clients  </t>
  </si>
  <si>
    <t xml:space="preserve">Ancram/Copake Prescription Access (2020/2021) </t>
  </si>
  <si>
    <r>
      <t>è</t>
    </r>
    <r>
      <rPr>
        <b/>
        <sz val="12"/>
        <color theme="1"/>
        <rFont val="Times New Roman"/>
        <family val="1"/>
      </rPr>
      <t xml:space="preserve"> Equipment, Furniture &amp; Vehicles</t>
    </r>
    <r>
      <rPr>
        <sz val="12"/>
        <color theme="1"/>
        <rFont val="Calibri"/>
        <family val="2"/>
      </rPr>
      <t xml:space="preserve"> </t>
    </r>
  </si>
  <si>
    <t xml:space="preserve">Columbia County </t>
  </si>
  <si>
    <t>For the Year Ended December 31, 2021</t>
  </si>
  <si>
    <t>Actual Revenue and Expenses            (Jan'21 to April'21)</t>
  </si>
  <si>
    <t>Budgeted Revenue and Expenses       (May'21 to Dec'21)</t>
  </si>
  <si>
    <t>Updated Operating Budget -        December 31, 2021</t>
  </si>
  <si>
    <t>Community Foundations of the Hudson Valley</t>
  </si>
  <si>
    <t>--Medicaid revenue will increase at the start of the 3rd quarter due to the opening of MHA/PROS opening back up</t>
  </si>
  <si>
    <t>--Addition of new fulltime staff members: Tobacco Youth Engagement Coordinator + NY Connects I&amp;AS after June 1st</t>
  </si>
  <si>
    <t>--Existing DOH and OFA contracts are renewed at current amounts.</t>
  </si>
  <si>
    <t>Original Operating Budget -             December 31, 2021</t>
  </si>
  <si>
    <t>Coarc Strategic Planning</t>
  </si>
  <si>
    <t>CC Dept of Health: HEALing Community Impact $</t>
  </si>
  <si>
    <t>Total OFA-NY Connects</t>
  </si>
  <si>
    <t>Agreement</t>
  </si>
  <si>
    <t>QuickBooks AR at 08/31/2021</t>
  </si>
  <si>
    <t xml:space="preserve">General Operating Support </t>
  </si>
  <si>
    <t>Columbia County BOS 2022 Budget Appropriation</t>
  </si>
  <si>
    <t xml:space="preserve">Add Back Deprecation </t>
  </si>
  <si>
    <r>
      <t>Transportation Services</t>
    </r>
    <r>
      <rPr>
        <b/>
        <sz val="11"/>
        <color rgb="FFFF0000"/>
        <rFont val="Arial"/>
        <family val="2"/>
      </rPr>
      <t xml:space="preserve"> </t>
    </r>
  </si>
  <si>
    <r>
      <t>Transportation Services (2022)</t>
    </r>
    <r>
      <rPr>
        <b/>
        <sz val="11"/>
        <color rgb="FFFF0000"/>
        <rFont val="Arial"/>
        <family val="2"/>
      </rPr>
      <t xml:space="preserve">  </t>
    </r>
  </si>
  <si>
    <t xml:space="preserve">County Government - 2022 </t>
  </si>
  <si>
    <t xml:space="preserve">Columbia Memorial Hospital </t>
  </si>
  <si>
    <t>Greene County Public Health</t>
  </si>
  <si>
    <t>Grants Receivable</t>
  </si>
  <si>
    <t>Transportation - Other: CMH, Greene Cty</t>
  </si>
  <si>
    <t>Vehicle Lease Liability</t>
  </si>
  <si>
    <t>Depreciation &amp; Amortization</t>
  </si>
  <si>
    <t>Interest Expense</t>
  </si>
  <si>
    <t>Depreciation &amp; Amortization -Vehicles</t>
  </si>
  <si>
    <t>Agency</t>
  </si>
  <si>
    <t>Enterprise Fleet</t>
  </si>
  <si>
    <t xml:space="preserve">General Operating Support (12-Months) </t>
  </si>
  <si>
    <t>Operating Budget</t>
  </si>
  <si>
    <t>For the Year Ended December 31, 2023</t>
  </si>
  <si>
    <t>Operating Budget - December 31, 2023</t>
  </si>
  <si>
    <t xml:space="preserve"> Projections - December 31, 2022</t>
  </si>
  <si>
    <t>2023 Operating Budget Assumptions</t>
  </si>
  <si>
    <t>General:</t>
  </si>
  <si>
    <t>NYS DOH existing contracts remain at the current contracted budget amount and we collect 100% of what we expend</t>
  </si>
  <si>
    <t>CARTS related:</t>
  </si>
  <si>
    <t>Program expenses increase due to wage increases for drivers and office staff, lease arrangement with Enterprise Fleet Management.</t>
  </si>
  <si>
    <t>Medicaid revenue for 2023 stays consistent with revenue levels experienced in 2022 year.</t>
  </si>
  <si>
    <t>For the Years Ended December 31, 2018, 2019, 2020, 2021, 2022</t>
  </si>
  <si>
    <t>Foundation Revenue</t>
  </si>
  <si>
    <t>Less: Revenue for New Vehicles</t>
  </si>
  <si>
    <t>Total Revenue after new Vehicles</t>
  </si>
  <si>
    <t>Variable</t>
  </si>
  <si>
    <t>Number of Laten miles for period</t>
  </si>
  <si>
    <t>Number of Laten miles per ride</t>
  </si>
  <si>
    <t>Number of vehicle miles for period</t>
  </si>
  <si>
    <t>Average miles per ride</t>
  </si>
  <si>
    <t>Breakeven point based upon laten miles</t>
  </si>
  <si>
    <t>Variable Costs</t>
  </si>
  <si>
    <t>Fixed Cost</t>
  </si>
  <si>
    <t>Depreciation &amp; Rent</t>
  </si>
  <si>
    <t>Total Expenditures</t>
  </si>
  <si>
    <t>Laden Miles</t>
  </si>
  <si>
    <t>Mileage Rate (Variable $ / Laten Miles)</t>
  </si>
  <si>
    <t>Base Rate (Fixed $ / # of Rides)</t>
  </si>
  <si>
    <t xml:space="preserve">In-Kind Rent </t>
  </si>
  <si>
    <t>Total  Revenue</t>
  </si>
  <si>
    <t>Actual number of Rides for Year</t>
  </si>
  <si>
    <t>Breakeven point  at number of Rides</t>
  </si>
  <si>
    <t>Increase/Decrease in the # of Rides</t>
  </si>
  <si>
    <t>Breakeven point based upon vehicle miles</t>
  </si>
  <si>
    <t>Actual Vehicle Miles</t>
  </si>
  <si>
    <t>Mileage Rate (Variable $ / Vehicle Miles)</t>
  </si>
  <si>
    <t>New Base Rate (Fixed $ / # of Rides)</t>
  </si>
  <si>
    <t>Variable Expenses</t>
  </si>
  <si>
    <t>Transportation Program Assistant (Part-time) hired Jan 01, 2023</t>
  </si>
  <si>
    <t xml:space="preserve"> RHN Program Coordinator (Full-time) hired Jan 01, 2023</t>
  </si>
  <si>
    <t>Director of Development &amp; Communication (Full-time) hired March 01, 2023</t>
  </si>
  <si>
    <t>Revenue from Foundations consist of the following</t>
  </si>
  <si>
    <t xml:space="preserve">Rip Van Winkle Foundation - $50,000 </t>
  </si>
  <si>
    <t>Small $3,000 increase in individual/business donations due to work completed by new Director of Development &amp; Communication position</t>
  </si>
  <si>
    <t>Dyson Foundation - $25,000 of $50,000 operating support</t>
  </si>
  <si>
    <t>Various County Departments -$20,000</t>
  </si>
  <si>
    <t>No expected increase in contributions from Columbia County. Revenue consist with 2022 levels</t>
  </si>
  <si>
    <t>Columbia County for Lobby Receptionist &amp; CARTS - $52,000</t>
  </si>
  <si>
    <t>Foundation of Community Health - $27,500 (reoccurring annually) for CARTS</t>
  </si>
  <si>
    <t>Foundation of Community Health - $28,000 of $150,00 from operating support</t>
  </si>
  <si>
    <t>Annual subcontract thru Office for the Aging for senior transportation (+60) services increases to $47,500 from $46,000</t>
  </si>
  <si>
    <t>Annual subcontract thru Dept of Human Services for transportation services remains consistent with the 2022 amount of $18,000</t>
  </si>
  <si>
    <t>Average hourly rate for drivers wages increases to $15.75/hr from $15.25/hr. Total driver wages &amp; fringe increase by $50,000 with driver's hours increasing by 2,300 hrs for a total of 15,400 hrs. Increase offset by Rip Van Winkle $50K donation.</t>
  </si>
  <si>
    <t>Three new positions for the 2023 year are hired with no other changes to current staffing levels</t>
  </si>
  <si>
    <t xml:space="preserve">Fringe benefits like health &amp; dental insurance are based upon actual 2023 renewal rates. </t>
  </si>
  <si>
    <t>No changes to existing calculations for discretionary 401(k) contributions from Agency that employee receive at year end. Estimated discretionary 401(k) contribution amount for 2023 year at $25,200</t>
  </si>
  <si>
    <t>The HEALing Community Study Program thru the Dept of Health ends March 31, 2023 and the related Impact Dollars Program ended a year earlier on March 31, 2022.</t>
  </si>
  <si>
    <t>Other existing contracts/subcontracts/agreements remain at current budget amounts, Like OFA: NY Connects, OFA: MIPPA, and Greene County DSS - HEAP</t>
  </si>
  <si>
    <t>The value of the Agency's investment decreases by $1,800 to $385K</t>
  </si>
  <si>
    <t xml:space="preserve">Small $3,000 decrease in support from RHN Program for vehicle expenses to $4,000. </t>
  </si>
  <si>
    <t>Immaterial CARTS revenue from service agreements with CMH and Greene County Public Health</t>
  </si>
  <si>
    <t>NY Connects ADRC         11/22 to 09/23</t>
  </si>
  <si>
    <t xml:space="preserve">Greene County - Human Services - Transportation </t>
  </si>
  <si>
    <r>
      <t>Transportation Services (2023)</t>
    </r>
    <r>
      <rPr>
        <b/>
        <sz val="11"/>
        <color rgb="FFFF0000"/>
        <rFont val="Arial"/>
        <family val="2"/>
      </rPr>
      <t xml:space="preserve">  </t>
    </r>
  </si>
  <si>
    <t>Columbia County BOS 2023 Budget Appropriation</t>
  </si>
  <si>
    <t>Columbia County Departments 2023 Donations (CARTS)</t>
  </si>
  <si>
    <t>.</t>
  </si>
  <si>
    <t>Greene County Public Health Services</t>
  </si>
  <si>
    <t>Transportation Billing Software-Kinetik</t>
  </si>
  <si>
    <t xml:space="preserve">County Government - 2023 </t>
  </si>
  <si>
    <t>2018 Ford Taurus</t>
  </si>
  <si>
    <t>2012 Ford Fusion</t>
  </si>
  <si>
    <t>2014 Dodge Grand Caravan</t>
  </si>
  <si>
    <t>2017 Dodge Grand Caravan</t>
  </si>
  <si>
    <t>2013 Dodge Grand Caravan</t>
  </si>
  <si>
    <t>2017 Ford Taurus</t>
  </si>
  <si>
    <t>Our Gain</t>
  </si>
  <si>
    <t>NY Connects E&amp;EP         04/23 to 03/24</t>
  </si>
  <si>
    <t>Transportation Software Leases</t>
  </si>
  <si>
    <t>Foundations</t>
  </si>
  <si>
    <t>Foundation Revenue-The Home for the Aged</t>
  </si>
  <si>
    <t>Greene County - Dept Human Services</t>
  </si>
  <si>
    <t>Less: Lease Payments</t>
  </si>
  <si>
    <t>Actual Expenses</t>
  </si>
  <si>
    <t>Projected Expenses</t>
  </si>
  <si>
    <t>Six Months</t>
  </si>
  <si>
    <t>Jan - June 2023</t>
  </si>
  <si>
    <t>July - Dec 2023</t>
  </si>
  <si>
    <t>Updated Budget-Transportation</t>
  </si>
  <si>
    <t>For the Years Ended December 31, 2023</t>
  </si>
  <si>
    <t>Updated Budget</t>
  </si>
  <si>
    <t>Twelve Months</t>
  </si>
  <si>
    <t>Jan - Dec 2023</t>
  </si>
  <si>
    <t>Updated 2023 Transportation Budget</t>
  </si>
  <si>
    <t>Orginial Budget</t>
  </si>
  <si>
    <t>Fund Raising Event-Net</t>
  </si>
  <si>
    <t>Orginial Assumptions</t>
  </si>
  <si>
    <t>Supplies</t>
  </si>
  <si>
    <t>Contract Professional - Sydney Keiler</t>
  </si>
  <si>
    <t>NYSDOH 07/23 to 06/24 - Year#5 of 5</t>
  </si>
  <si>
    <t xml:space="preserve">Transportation Fundraiser </t>
  </si>
  <si>
    <t>Rip Van Winkle Foundation - CARTS</t>
  </si>
  <si>
    <t>The Home for the Aged - CARTS</t>
  </si>
  <si>
    <t>Statement of Activities-Fundraising Event of September 21, 2023</t>
  </si>
  <si>
    <t>Ticket Sales</t>
  </si>
  <si>
    <t>Total Revenue from Fundraiser</t>
  </si>
  <si>
    <t>Revenue</t>
  </si>
  <si>
    <t>Facility rental</t>
  </si>
  <si>
    <t>Catering</t>
  </si>
  <si>
    <t>Paypal processing fees</t>
  </si>
  <si>
    <t>Income from Fundraiser Event</t>
  </si>
  <si>
    <t>Sponsorships (committed)</t>
  </si>
  <si>
    <t xml:space="preserve">General Operating Support  (36-Months) </t>
  </si>
  <si>
    <t>For the Year Ended December 31, 2024</t>
  </si>
  <si>
    <t>Operating Budget - December 31, 2024</t>
  </si>
  <si>
    <t xml:space="preserve"> Projections - December 31, 2023</t>
  </si>
  <si>
    <t>Fundraising Events-Net</t>
  </si>
  <si>
    <t>Gain (Loss) on Investments</t>
  </si>
  <si>
    <t>2024 Operating Budget Assumptions</t>
  </si>
  <si>
    <t>Transportation Program Assistant (Full-time) hired Dec 01, 2023</t>
  </si>
  <si>
    <t>Director of Business Operations (Full-Time) hired April 01, 2024</t>
  </si>
  <si>
    <t xml:space="preserve">Fringe benefits like health &amp; dental insurance are based upon actual 2024 renewal rates. </t>
  </si>
  <si>
    <t>No changes to existing calculations for discretionary 401(k) contributions from Agency that employee receive at year end. Estimated discretionary 401(k) contribution amount for 2024 year at $25,000</t>
  </si>
  <si>
    <t>The value of the Agency's investment increases by $3,000 to $399K</t>
  </si>
  <si>
    <t>Two new positions for the 2024 year are hired with no other changes to current staffing levels</t>
  </si>
  <si>
    <t>Mother Cabrini Health Foundation</t>
  </si>
  <si>
    <t>Columbia County Departments 2024 Donations (CARTS)</t>
  </si>
  <si>
    <t xml:space="preserve">County Departments - 2023 </t>
  </si>
  <si>
    <t>Fundraiser - Annual Reconciliation Event</t>
  </si>
  <si>
    <t>2024 Transportation Support</t>
  </si>
  <si>
    <t>NYSDOH 01/24 to 12/24 Yr#6 (Quarterly Voucher)</t>
  </si>
  <si>
    <t>The Home for the Aged-Pledge (expect Sept'24)</t>
  </si>
  <si>
    <t>Columbia County - BOS Appropriation</t>
  </si>
  <si>
    <t xml:space="preserve">Ancram/Copake Prescription Access (2024) </t>
  </si>
  <si>
    <r>
      <t xml:space="preserve">Transportation Services (2024)  </t>
    </r>
    <r>
      <rPr>
        <b/>
        <sz val="11"/>
        <color rgb="FFFF0000"/>
        <rFont val="Arial"/>
        <family val="2"/>
      </rPr>
      <t xml:space="preserve"> </t>
    </r>
  </si>
  <si>
    <t xml:space="preserve">County Departments - 2024 </t>
  </si>
  <si>
    <t>Collaborative Community Health Planning Jan'23-Dec'24</t>
  </si>
  <si>
    <t xml:space="preserve">Foundation Revenue-Mother Cabrini </t>
  </si>
  <si>
    <t>Deposit of 5310 Vehicle</t>
  </si>
  <si>
    <t>NYSDOT</t>
  </si>
  <si>
    <t>2024- 2026 Operating Support</t>
  </si>
  <si>
    <t>Community Health Improvement Plan (CHIP)</t>
  </si>
  <si>
    <t>NY Connects E&amp;EP         04/24 to 03/25</t>
  </si>
  <si>
    <t xml:space="preserve">Mother Cabrini </t>
  </si>
  <si>
    <t>Lori Torgersen</t>
  </si>
  <si>
    <t>Miscellaneous</t>
  </si>
  <si>
    <t>Foundation for Community Health -CARTS for 2025 Year</t>
  </si>
  <si>
    <t>Savings - Live Oak Bank</t>
  </si>
  <si>
    <t>Fundraising Event (Annual Recognition + CARTS)</t>
  </si>
  <si>
    <t>Navigator/         NY Connects</t>
  </si>
  <si>
    <t>Intelligent Tech Solutions</t>
  </si>
  <si>
    <t>Dell All-In-One Computer</t>
  </si>
  <si>
    <t>October</t>
  </si>
  <si>
    <t>In Person Assistors &amp; Navigators-Yr#6 of 6</t>
  </si>
  <si>
    <t>Transportation Services (2024 - 2025)</t>
  </si>
  <si>
    <t>Transportation Services (2025)</t>
  </si>
  <si>
    <r>
      <t xml:space="preserve">Greene County DSS </t>
    </r>
    <r>
      <rPr>
        <sz val="10"/>
        <color theme="1"/>
        <rFont val="Arial"/>
        <family val="2"/>
      </rPr>
      <t xml:space="preserve">(Family-Centered Case Management) </t>
    </r>
  </si>
  <si>
    <r>
      <t xml:space="preserve">Greene County DSS </t>
    </r>
    <r>
      <rPr>
        <sz val="10"/>
        <color theme="1"/>
        <rFont val="Arial"/>
        <family val="2"/>
      </rPr>
      <t xml:space="preserve">(HEAP Program )  </t>
    </r>
  </si>
  <si>
    <r>
      <t>è</t>
    </r>
    <r>
      <rPr>
        <sz val="12"/>
        <color theme="1"/>
        <rFont val="Times New Roman"/>
        <family val="1"/>
      </rPr>
      <t xml:space="preserve"> </t>
    </r>
    <r>
      <rPr>
        <b/>
        <sz val="12"/>
        <color theme="1"/>
        <rFont val="Times New Roman"/>
        <family val="1"/>
      </rPr>
      <t>Line of Credit</t>
    </r>
    <r>
      <rPr>
        <sz val="12"/>
        <color theme="1"/>
        <rFont val="Calibri"/>
        <family val="2"/>
      </rPr>
      <t xml:space="preserve"> - Received notification from The Bank of Greene County. Bank renewed our $100,000 line for one year until October 1, 2025.  </t>
    </r>
  </si>
  <si>
    <t>2024 Average</t>
  </si>
  <si>
    <t>HRBT - Transportation</t>
  </si>
  <si>
    <t>2024 change in value =</t>
  </si>
  <si>
    <t>Balance, January 1</t>
  </si>
  <si>
    <t>Balance, October 31 2024</t>
  </si>
  <si>
    <t>Hudson River Bank &amp; Trust</t>
  </si>
  <si>
    <t>Mother Cabrini - CARTS for 2025 Year</t>
  </si>
  <si>
    <t xml:space="preserve">CMH income decrease </t>
  </si>
  <si>
    <t>Total Grant Receivable - October 2024</t>
  </si>
  <si>
    <t>December</t>
  </si>
  <si>
    <t>November</t>
  </si>
  <si>
    <t>Sept. &amp; Older</t>
  </si>
  <si>
    <t>Greene County DSS - Sr. Case Worker</t>
  </si>
  <si>
    <t>Payments Received After December 31, 2024</t>
  </si>
  <si>
    <t>Receivables</t>
  </si>
  <si>
    <t>Add</t>
  </si>
  <si>
    <t>Medicaid</t>
  </si>
  <si>
    <t>Total</t>
  </si>
  <si>
    <t>HRBT</t>
  </si>
  <si>
    <t>Greene Cty Pub He Dep</t>
  </si>
  <si>
    <t>CMH</t>
  </si>
  <si>
    <t>Foundation Revenue - FCH, Dyson, Mother Cabrini</t>
  </si>
  <si>
    <t>Foundation for Community Health (CARTS)</t>
  </si>
  <si>
    <t>Hudson River Bank Trust Foundation (CARTS)</t>
  </si>
  <si>
    <t>Dyson, FCH: General Ops 2023 GLM1760, FCH Prescription Access $7500, FCH: Sharon Acram Tranport $25000, HRBT Foundation $25000 (2024), Mother Cabrini, The Home for the Aged</t>
  </si>
  <si>
    <t>Navigator, RHN, Tobacco</t>
  </si>
  <si>
    <t>Foundation Revenue-Hudson River Bank &amp; Trust</t>
  </si>
  <si>
    <t>Ny Connects and Sr Transport</t>
  </si>
  <si>
    <t>41950 Rev Released from restriction</t>
  </si>
  <si>
    <t>41100 NYS Grants</t>
  </si>
  <si>
    <t>40050 Medicare/Medicaid Payments</t>
  </si>
  <si>
    <t>41300 Local Gov't Grants</t>
  </si>
  <si>
    <t>41500 Individual Donations</t>
  </si>
  <si>
    <t>45030 Interest</t>
  </si>
  <si>
    <t>45040 Investment Income</t>
  </si>
  <si>
    <t>91000 Unrealized Gain (loss)</t>
  </si>
  <si>
    <t>41400 Foundation Grants</t>
  </si>
  <si>
    <t>46430 Other Income</t>
  </si>
  <si>
    <t>41600 Donated use of facilities</t>
  </si>
  <si>
    <t>Columbia County Treasurer BOS</t>
  </si>
  <si>
    <t>Columbia County Transportation (CARTS)</t>
  </si>
  <si>
    <t>OFA: NY Connects - October Voucher</t>
  </si>
  <si>
    <t>Greene County DSS - Sr Caseworker</t>
  </si>
  <si>
    <t>Navigator Program - August 2024 Voucher</t>
  </si>
  <si>
    <t>lll</t>
  </si>
  <si>
    <t>December '24 vs.'23</t>
  </si>
  <si>
    <t>HRBT - CARTS for 2025 Year</t>
  </si>
  <si>
    <t>Total AR Payments Received After December 31, 2024</t>
  </si>
  <si>
    <t>2024 average</t>
  </si>
  <si>
    <t>Average 2023</t>
  </si>
  <si>
    <t>Columbia County Budget Appropriation (Unrestricted Funds)</t>
  </si>
  <si>
    <t>Columbia County OFA Sr Transportation</t>
  </si>
  <si>
    <t>Columbia County Departments (various) For CARTS</t>
  </si>
  <si>
    <t>Fundraising Event</t>
  </si>
  <si>
    <t>County Departments - 2025</t>
  </si>
  <si>
    <t>Columbia County Departments 2025 Donations (CARTS)</t>
  </si>
  <si>
    <t>As of December 31, 2024</t>
  </si>
  <si>
    <t>Grants Receivable Aging Summary as of December 31, 2024</t>
  </si>
  <si>
    <t>Greene County DSS - HEAP Worker</t>
  </si>
  <si>
    <t xml:space="preserve">Greene County Public Health - Comm. Health Improvement Planning </t>
  </si>
  <si>
    <t>Columbia County Dept. of Health - Comm. Health Improvement Planning</t>
  </si>
  <si>
    <t>NYSDOH 08/24 to 07/25 - Year #6 of 6</t>
  </si>
  <si>
    <t>HRBT Foundation - Children &amp; Adult Rural Transportation (CARTS)</t>
  </si>
  <si>
    <t>Columbia Memorial Hospital - Transportation</t>
  </si>
  <si>
    <t>Grants Receivable at 12/31/2024</t>
  </si>
  <si>
    <t>December 31st AR Balance at January 28, 2025</t>
  </si>
  <si>
    <t>2024 - 2026 Transportation</t>
  </si>
  <si>
    <t>Average Miles per Ride</t>
  </si>
  <si>
    <t>Senior Transportation Services - 2025</t>
  </si>
  <si>
    <t>7/1/2024 - 12/31/2024</t>
  </si>
  <si>
    <t>FCH Reporting</t>
  </si>
  <si>
    <t>GP added on 01-27-2024</t>
  </si>
  <si>
    <t>OFA Senior Transportation</t>
  </si>
  <si>
    <t>Transportation Coordinators &amp;  Support</t>
  </si>
  <si>
    <t>Vehicle Fuel</t>
  </si>
  <si>
    <t>Change in Unrestricted Assets</t>
  </si>
  <si>
    <t>Period ending June 30, 2024 &amp; December 31, 2024</t>
  </si>
  <si>
    <t>1/1/2024 - 6/30/2024</t>
  </si>
  <si>
    <t>2024 YE</t>
  </si>
  <si>
    <t xml:space="preserve">2025 Budget </t>
  </si>
  <si>
    <t>Grants Receivable Aging Summary as of February 28, 2025</t>
  </si>
  <si>
    <t>February</t>
  </si>
  <si>
    <t>January</t>
  </si>
  <si>
    <t>Nov &amp; Older</t>
  </si>
  <si>
    <t>Columbia County DOH - Comm. Health Improve Plan (CHIP) Qtrly</t>
  </si>
  <si>
    <t>Columbia County Budget Appropriation - Unrestricted</t>
  </si>
  <si>
    <t>Columbia Memorial Hospital - Comm. Health Improvement Plan</t>
  </si>
  <si>
    <t>Greene County DSS - HEAPS</t>
  </si>
  <si>
    <t>Greene County Public Health Department</t>
  </si>
  <si>
    <t>NYSDOH 08/24 to 07/25 - Year#6 of 6</t>
  </si>
  <si>
    <t>NYSARH 4/24 to 3/25</t>
  </si>
  <si>
    <t>Columbia County Budget Appropriation CARTS</t>
  </si>
  <si>
    <t>HRBT Foundation - Children &amp; Adult Rural Trans.</t>
  </si>
  <si>
    <t>ProPrinter (Donation for CARTS Booklet)</t>
  </si>
  <si>
    <t>Miscellaneous - ProPrinter</t>
  </si>
  <si>
    <t>Grants Receivable at 8/31/2024</t>
  </si>
  <si>
    <t>Payments Received After February 28, 2025</t>
  </si>
  <si>
    <t>Columbia County Budget Appropriation</t>
  </si>
  <si>
    <t xml:space="preserve">Columbia County Department of Health </t>
  </si>
  <si>
    <t>Greene County DSS - HEAP</t>
  </si>
  <si>
    <t>RHN 2024 Q4 Voucher</t>
  </si>
  <si>
    <t>November 31st AR Balance at January 28, 2025</t>
  </si>
  <si>
    <t>Rural Health Network Program- 2025 Extension</t>
  </si>
  <si>
    <t>Rural Health Network Program- Yr#6 of 6</t>
  </si>
  <si>
    <t>Balance as of 01/01/2025</t>
  </si>
  <si>
    <t>Ancram/Copake Prescription Access (2025)</t>
  </si>
  <si>
    <t>County Government - 2025</t>
  </si>
  <si>
    <t>Columbia County BOS 2025 Budget Appropriation</t>
  </si>
  <si>
    <r>
      <t>è</t>
    </r>
    <r>
      <rPr>
        <b/>
        <sz val="12"/>
        <color theme="1"/>
        <rFont val="Times New Roman"/>
        <family val="1"/>
      </rPr>
      <t xml:space="preserve"> Investment - North Country Financial Group </t>
    </r>
    <r>
      <rPr>
        <sz val="12"/>
        <color theme="1"/>
        <rFont val="Calibri"/>
        <family val="2"/>
      </rPr>
      <t xml:space="preserve"> - As of February 28, 2025, the investment account value is $501K. Initial investment during the month of March 2016 was $152K. The change in value for the 2025 year is an increase of $15.6K. </t>
    </r>
  </si>
  <si>
    <r>
      <t>è</t>
    </r>
    <r>
      <rPr>
        <sz val="12"/>
        <color theme="1"/>
        <rFont val="Times New Roman"/>
        <family val="1"/>
      </rPr>
      <t xml:space="preserve"> </t>
    </r>
    <r>
      <rPr>
        <b/>
        <sz val="12"/>
        <color theme="1"/>
        <rFont val="Calibri"/>
        <family val="2"/>
      </rPr>
      <t>Advance Funding Payable</t>
    </r>
    <r>
      <rPr>
        <sz val="12"/>
        <color theme="1"/>
        <rFont val="Calibri"/>
        <family val="2"/>
      </rPr>
      <t xml:space="preserve"> -  When the Agency receives a deposit for work to be done in the future, it recognizes it by debiting (increasing) cash and crediting (increasing) a deferred revenue account or "Advance Funding Payable"(a liability account). This transaction doesn't affect the income statement -- the deferred revenue is not really revenue per se. The deferred account functions like a holding place until services are provided. The entire transaction affects only balance sheet accounts. Once the service is provided, "real" revenue is recognized with an entry that debits (decreases) the deferred account and credits (increases) the revenue account. Program income received in advance consists of the following as of February 28, 2025:</t>
    </r>
  </si>
  <si>
    <t>Ending Balance at February 28, 2025</t>
  </si>
  <si>
    <r>
      <t>è</t>
    </r>
    <r>
      <rPr>
        <sz val="12"/>
        <color theme="1"/>
        <rFont val="Times New Roman"/>
        <family val="1"/>
      </rPr>
      <t xml:space="preserve"> </t>
    </r>
    <r>
      <rPr>
        <b/>
        <sz val="12"/>
        <color theme="1"/>
        <rFont val="Calibri"/>
        <family val="2"/>
      </rPr>
      <t>Donor Restricted Funds</t>
    </r>
    <r>
      <rPr>
        <sz val="12"/>
        <color theme="1"/>
        <rFont val="Calibri"/>
        <family val="2"/>
      </rPr>
      <t xml:space="preserve"> - Donor restrictions funds are donated contributions that have only a one-sided economic benefit and are restricted to a specific period of time or set of conditions. To decrease this revenue, employ another account named Net Assets Released From Restrictions, which reports as revenue.  Below donor restrictions funds represent donations to be used for the following specific program purpose as of February 28, 2025: </t>
    </r>
  </si>
  <si>
    <t>The Home of the Aged  (CARTS)</t>
  </si>
  <si>
    <t>February '25 vs '24</t>
  </si>
  <si>
    <r>
      <t>è</t>
    </r>
    <r>
      <rPr>
        <sz val="12"/>
        <color theme="1"/>
        <rFont val="Times New Roman"/>
        <family val="1"/>
      </rPr>
      <t xml:space="preserve"> </t>
    </r>
    <r>
      <rPr>
        <b/>
        <sz val="12"/>
        <color theme="1"/>
        <rFont val="Calibri"/>
        <family val="2"/>
      </rPr>
      <t xml:space="preserve">Grant Receivable - </t>
    </r>
    <r>
      <rPr>
        <sz val="12"/>
        <color theme="1"/>
        <rFont val="Calibri"/>
        <family val="2"/>
      </rPr>
      <t xml:space="preserve">  As of February 28, 2025, our Grant Receivable is $339K. We expect to collect on all receivables.  </t>
    </r>
  </si>
  <si>
    <t>Rider donations decreased in 2025</t>
  </si>
  <si>
    <t>Additional interest from Live Oak Savings</t>
  </si>
  <si>
    <t>Realized gain of $592 for this period is net of $1217 management fee</t>
  </si>
  <si>
    <t>Unrealized gain</t>
  </si>
  <si>
    <t xml:space="preserve">2025 does not include The Home for the Aged </t>
  </si>
  <si>
    <t>Tobacco advertising campaign in 2024</t>
  </si>
  <si>
    <t>Auditors billed $5k in 2025 vs $13.5k in 2024</t>
  </si>
  <si>
    <t>For 2024 yr, additional subcontractors Coenen and Rightmyer</t>
  </si>
  <si>
    <t>Payment for 2024 Columbia Cty Chamber of Commerce paid in 2025</t>
  </si>
  <si>
    <t xml:space="preserve">Year-over-year increase in insurance expense </t>
  </si>
  <si>
    <t>Decrease in prescription and financial assistance due to client need</t>
  </si>
  <si>
    <t>Increase in driver training required by NY State Medicaid</t>
  </si>
  <si>
    <t>Decrease in internet access and telephone charges for 2025</t>
  </si>
  <si>
    <t>Increase in vehicle fuel due to more rides in this period; increase in auto insurance</t>
  </si>
  <si>
    <t>Decrease is due to The Home for the Aged and termination of Tobacco Program</t>
  </si>
  <si>
    <t>Decreased expense due to billing cycle irregularities, term of Tobacco Adverts and fringe benefits</t>
  </si>
  <si>
    <t>February '25 vs.'24</t>
  </si>
  <si>
    <r>
      <t>è</t>
    </r>
    <r>
      <rPr>
        <b/>
        <sz val="12"/>
        <color theme="1"/>
        <rFont val="Times New Roman"/>
        <family val="1"/>
      </rPr>
      <t xml:space="preserve">Accounts Payable - </t>
    </r>
    <r>
      <rPr>
        <sz val="12"/>
        <color theme="1"/>
        <rFont val="Calibri"/>
        <family val="2"/>
        <scheme val="minor"/>
      </rPr>
      <t xml:space="preserve">At February 28, 2025, accounts payable liability is $8,609. All accounts payable liability is being paid timely within 28 days. </t>
    </r>
  </si>
  <si>
    <t>Decrease of $38K contracted revenue from Tobacco Program (terminated in 2024)</t>
  </si>
  <si>
    <t>Increase in Medicaid ridership beginning of 2025</t>
  </si>
  <si>
    <t xml:space="preserve">Added Greene Cty HEAPS in Sept 2024 in addition to the continuation of GC Caseworker </t>
  </si>
  <si>
    <t>Significant increase in individual donations in 2025</t>
  </si>
  <si>
    <t>Twelve Months Ended December 31, 2024</t>
  </si>
  <si>
    <t>Budget vs Actual</t>
  </si>
  <si>
    <t>2024 Budget, Original</t>
  </si>
  <si>
    <t>2024 Budget, Revised Sep'24</t>
  </si>
  <si>
    <t xml:space="preserve">2024 Actual </t>
  </si>
  <si>
    <t>Revised Vs Actual</t>
  </si>
  <si>
    <r>
      <t>è</t>
    </r>
    <r>
      <rPr>
        <b/>
        <sz val="12"/>
        <color theme="1"/>
        <rFont val="Times New Roman"/>
        <family val="1"/>
      </rPr>
      <t xml:space="preserve"> Cash</t>
    </r>
    <r>
      <rPr>
        <sz val="12"/>
        <color theme="1"/>
        <rFont val="Calibri"/>
        <family val="2"/>
      </rPr>
      <t xml:space="preserve"> -  The sum of cash balances in the agency's checking accounts started the 2025 year off with $580K and ended in the month of February with $563K. The low cash balance on January, 17, 2025 was $517K nd the high cash balance on January 17, 2025, was $577K. The average daily balance for 2025 is $545K and for 2024 it was $504K. </t>
    </r>
  </si>
  <si>
    <t>Two Months Ended February 28, 2025 and February 29, 2024</t>
  </si>
  <si>
    <t>Green County Dept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</si>
</sst>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409]mmmm\ d\,\ yyyy;@"/>
    <numFmt numFmtId="166" formatCode="[$-409]mmmm\-yy;@"/>
    <numFmt numFmtId="167" formatCode="[$-F800]dddd\,\ mmmm\ dd\,\ yyyy"/>
    <numFmt numFmtId="168" formatCode="_(&quot;$&quot;* #,##0_);_(&quot;$&quot;* \(#,##0\);_(&quot;$&quot;* &quot;-&quot;??_);_(@_)"/>
    <numFmt numFmtId="169" formatCode="&quot;$&quot;#,##0"/>
    <numFmt numFmtId="170" formatCode="#,##0.0"/>
    <numFmt numFmtId="171" formatCode="#,##0.0_);\(#,##0.0\)"/>
    <numFmt numFmtId="172" formatCode="#,##0.00;\-#,##0.00"/>
    <numFmt numFmtId="173" formatCode="_(* #,##0_);_(* \(#,##0\);_(* &quot;-&quot;??_);_(@_)"/>
    <numFmt numFmtId="174" formatCode="_(* #,##0.00_);_(* \(#,##0.00\);_(* &quot;-&quot;_);_(@_)"/>
    <numFmt numFmtId="175" formatCode="mm/dd/yyyy"/>
  </numFmts>
  <fonts count="77"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4"/>
      <color theme="1"/>
      <name val="Arial"/>
      <family val="2"/>
    </font>
    <font>
      <sz val="14"/>
      <color theme="1"/>
      <name val="Arial"/>
      <family val="2"/>
    </font>
    <font>
      <b/>
      <sz val="12"/>
      <color theme="1"/>
      <name val="Arial"/>
      <family val="2"/>
    </font>
    <font>
      <sz val="12"/>
      <color theme="1"/>
      <name val="Arial"/>
      <family val="2"/>
    </font>
    <font>
      <b/>
      <sz val="8"/>
      <color rgb="FF000000"/>
      <name val="Arial"/>
      <family val="2"/>
    </font>
    <font>
      <b/>
      <sz val="20"/>
      <color theme="1"/>
      <name val="Calibri"/>
      <family val="2"/>
      <scheme val="minor"/>
    </font>
    <font>
      <sz val="16"/>
      <color theme="1"/>
      <name val="Calibri"/>
      <family val="2"/>
      <scheme val="minor"/>
    </font>
    <font>
      <b/>
      <sz val="16"/>
      <color rgb="FF000000"/>
      <name val="Arial"/>
      <family val="2"/>
    </font>
    <font>
      <b/>
      <sz val="20"/>
      <color rgb="FF000000"/>
      <name val="Arial"/>
      <family val="2"/>
    </font>
    <font>
      <sz val="20"/>
      <color rgb="FF000000"/>
      <name val="Arial"/>
      <family val="2"/>
    </font>
    <font>
      <sz val="20"/>
      <color theme="1"/>
      <name val="Arial"/>
      <family val="2"/>
    </font>
    <font>
      <sz val="16"/>
      <color rgb="FF000000"/>
      <name val="Arial"/>
      <family val="2"/>
    </font>
    <font>
      <b/>
      <sz val="18"/>
      <color rgb="FF000000"/>
      <name val="Arial"/>
      <family val="2"/>
    </font>
    <font>
      <b/>
      <sz val="12"/>
      <color rgb="FF000000"/>
      <name val="Arial"/>
      <family val="2"/>
    </font>
    <font>
      <b/>
      <sz val="14"/>
      <color rgb="FF000000"/>
      <name val="Arial"/>
      <family val="2"/>
    </font>
    <font>
      <sz val="14"/>
      <color rgb="FF000000"/>
      <name val="Arial"/>
      <family val="2"/>
    </font>
    <font>
      <b/>
      <sz val="11"/>
      <color rgb="FF000000"/>
      <name val="Arial"/>
      <family val="2"/>
    </font>
    <font>
      <b/>
      <sz val="11"/>
      <color theme="1"/>
      <name val="Calibri"/>
      <family val="2"/>
      <scheme val="minor"/>
    </font>
    <font>
      <sz val="10"/>
      <color rgb="FF000000"/>
      <name val="Arial"/>
      <family val="2"/>
    </font>
    <font>
      <sz val="16"/>
      <color theme="1"/>
      <name val="Arial"/>
      <family val="2"/>
    </font>
    <font>
      <sz val="11"/>
      <color rgb="FF000000"/>
      <name val="Arial"/>
      <family val="2"/>
    </font>
    <font>
      <sz val="15"/>
      <color rgb="FF000000"/>
      <name val="Arial"/>
      <family val="2"/>
    </font>
    <font>
      <sz val="9"/>
      <color theme="1"/>
      <name val="Arial"/>
      <family val="2"/>
    </font>
    <font>
      <b/>
      <u/>
      <sz val="12"/>
      <color rgb="FF000000"/>
      <name val="Arial"/>
      <family val="2"/>
    </font>
    <font>
      <b/>
      <sz val="9"/>
      <color rgb="FF000000"/>
      <name val="Arial"/>
      <family val="2"/>
    </font>
    <font>
      <sz val="11"/>
      <name val="Arial"/>
      <family val="2"/>
    </font>
    <font>
      <sz val="9"/>
      <color rgb="FF000000"/>
      <name val="Arial"/>
      <family val="2"/>
    </font>
    <font>
      <b/>
      <sz val="12"/>
      <color theme="1"/>
      <name val="Calibri"/>
      <family val="2"/>
      <scheme val="minor"/>
    </font>
    <font>
      <b/>
      <sz val="18"/>
      <color theme="1"/>
      <name val="Calibri"/>
      <family val="2"/>
    </font>
    <font>
      <sz val="12"/>
      <color theme="1"/>
      <name val="Wingdings"/>
      <charset val="2"/>
    </font>
    <font>
      <sz val="12"/>
      <color theme="1"/>
      <name val="Times New Roman"/>
      <family val="1"/>
    </font>
    <font>
      <sz val="12"/>
      <color theme="1"/>
      <name val="Calibri"/>
      <family val="2"/>
    </font>
    <font>
      <b/>
      <sz val="12"/>
      <color theme="1"/>
      <name val="Calibri"/>
      <family val="2"/>
    </font>
    <font>
      <b/>
      <sz val="12"/>
      <color theme="1"/>
      <name val="Times New Roman"/>
      <family val="1"/>
    </font>
    <font>
      <sz val="9"/>
      <color indexed="81"/>
      <name val="Tahoma"/>
      <family val="2"/>
    </font>
    <font>
      <b/>
      <sz val="9"/>
      <color indexed="81"/>
      <name val="Tahoma"/>
      <family val="2"/>
    </font>
    <font>
      <sz val="12"/>
      <color theme="1"/>
      <name val="Wide Latin"/>
      <family val="1"/>
    </font>
    <font>
      <sz val="12"/>
      <color rgb="FFFF0000"/>
      <name val="Arial"/>
      <family val="2"/>
    </font>
    <font>
      <sz val="12"/>
      <name val="Arial"/>
      <family val="2"/>
    </font>
    <font>
      <b/>
      <sz val="10"/>
      <color rgb="FF000000"/>
      <name val="Arial"/>
      <family val="2"/>
    </font>
    <font>
      <sz val="12"/>
      <color theme="1"/>
      <name val="Calibri"/>
      <family val="2"/>
      <scheme val="minor"/>
    </font>
    <font>
      <sz val="11"/>
      <color theme="1"/>
      <name val="Times New Roman"/>
      <family val="1"/>
    </font>
    <font>
      <sz val="9"/>
      <color theme="1"/>
      <name val="Times New Roman"/>
      <family val="1"/>
    </font>
    <font>
      <sz val="11"/>
      <color theme="1"/>
      <name val="Wingdings"/>
      <charset val="2"/>
    </font>
    <font>
      <sz val="8"/>
      <color theme="1"/>
      <name val="Arial"/>
      <family val="2"/>
    </font>
    <font>
      <sz val="8"/>
      <color rgb="FF000000"/>
      <name val="Arial"/>
      <family val="2"/>
    </font>
    <font>
      <sz val="9"/>
      <color theme="1"/>
      <name val="Calibri"/>
      <family val="2"/>
      <scheme val="minor"/>
    </font>
    <font>
      <sz val="16"/>
      <color rgb="FFFF0000"/>
      <name val="Arial"/>
      <family val="2"/>
    </font>
    <font>
      <sz val="16"/>
      <name val="Arial"/>
      <family val="2"/>
    </font>
    <font>
      <sz val="10"/>
      <color theme="1"/>
      <name val="Calibri"/>
      <family val="2"/>
      <scheme val="minor"/>
    </font>
    <font>
      <sz val="12"/>
      <color rgb="FF000000"/>
      <name val="Arial"/>
      <family val="2"/>
    </font>
    <font>
      <sz val="14"/>
      <color theme="1"/>
      <name val="Calibri"/>
      <family val="2"/>
      <scheme val="minor"/>
    </font>
    <font>
      <sz val="10"/>
      <color theme="1"/>
      <name val="Arial"/>
      <family val="2"/>
    </font>
    <font>
      <sz val="12"/>
      <color rgb="FF000000"/>
      <name val="Calibri"/>
      <family val="2"/>
      <scheme val="minor"/>
    </font>
    <font>
      <sz val="10"/>
      <color theme="1"/>
      <name val="Times New Roman"/>
      <family val="1"/>
    </font>
    <font>
      <b/>
      <sz val="16"/>
      <color theme="1"/>
      <name val="Calibri"/>
      <family val="2"/>
      <scheme val="minor"/>
    </font>
    <font>
      <b/>
      <sz val="10"/>
      <color theme="1"/>
      <name val="Calibri"/>
      <family val="2"/>
      <scheme val="minor"/>
    </font>
    <font>
      <b/>
      <sz val="14"/>
      <color theme="1"/>
      <name val="Calibri"/>
      <family val="2"/>
      <scheme val="minor"/>
    </font>
    <font>
      <b/>
      <sz val="10"/>
      <color theme="1"/>
      <name val="Arial"/>
      <family val="2"/>
    </font>
    <font>
      <b/>
      <sz val="11"/>
      <color rgb="FFFF0000"/>
      <name val="Arial"/>
      <family val="2"/>
    </font>
    <font>
      <b/>
      <sz val="14"/>
      <name val="Arial"/>
      <family val="2"/>
    </font>
    <font>
      <sz val="10"/>
      <name val="Arial"/>
      <family val="2"/>
    </font>
    <font>
      <b/>
      <sz val="16"/>
      <color rgb="FFFF0000"/>
      <name val="Arial"/>
      <family val="2"/>
    </font>
    <font>
      <b/>
      <sz val="16"/>
      <color theme="1"/>
      <name val="Arial"/>
      <family val="2"/>
    </font>
    <font>
      <sz val="15"/>
      <color theme="1"/>
      <name val="Arial"/>
      <family val="2"/>
    </font>
    <font>
      <sz val="14"/>
      <name val="Arial"/>
      <family val="2"/>
    </font>
    <font>
      <b/>
      <sz val="15"/>
      <color rgb="FF000000"/>
      <name val="Arial"/>
      <family val="2"/>
    </font>
    <font>
      <sz val="18"/>
      <color theme="1"/>
      <name val="Aptos"/>
      <family val="2"/>
    </font>
    <font>
      <b/>
      <sz val="8"/>
      <color theme="1"/>
      <name val="Arial"/>
      <family val="2"/>
    </font>
    <font>
      <sz val="11"/>
      <color theme="0" tint="-0.14999847407452621"/>
      <name val="Arial"/>
      <family val="2"/>
    </font>
  </fonts>
  <fills count="1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81FFBA"/>
        <bgColor indexed="64"/>
      </patternFill>
    </fill>
    <fill>
      <patternFill patternType="solid">
        <fgColor rgb="FFFFC000"/>
        <bgColor indexed="64"/>
      </patternFill>
    </fill>
    <fill>
      <patternFill patternType="solid">
        <fgColor theme="6" tint="0.39997558519241921"/>
        <bgColor indexed="64"/>
      </patternFill>
    </fill>
    <fill>
      <patternFill patternType="solid">
        <fgColor rgb="FFEDB323"/>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bottom/>
      <diagonal/>
    </border>
    <border>
      <left/>
      <right/>
      <top style="double">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thick">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8">
    <xf numFmtId="0" fontId="0"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9" fontId="5" fillId="0" borderId="0" applyFont="0" applyFill="0" applyBorder="0" applyAlignment="0" applyProtection="0"/>
    <xf numFmtId="0" fontId="2" fillId="0" borderId="0"/>
    <xf numFmtId="0" fontId="68" fillId="0" borderId="0"/>
    <xf numFmtId="43" fontId="5" fillId="0" borderId="0" applyFont="0" applyFill="0" applyBorder="0" applyAlignment="0" applyProtection="0"/>
  </cellStyleXfs>
  <cellXfs count="870">
    <xf numFmtId="0" fontId="0" fillId="0" borderId="0" xfId="0"/>
    <xf numFmtId="0" fontId="0" fillId="0" borderId="2" xfId="0" applyBorder="1"/>
    <xf numFmtId="0" fontId="0" fillId="2" borderId="0" xfId="0" applyFill="1"/>
    <xf numFmtId="0" fontId="0" fillId="0" borderId="0" xfId="0" applyAlignment="1">
      <alignment horizontal="center"/>
    </xf>
    <xf numFmtId="14" fontId="0" fillId="0" borderId="0" xfId="0" applyNumberFormat="1" applyAlignment="1">
      <alignment horizontal="center"/>
    </xf>
    <xf numFmtId="4" fontId="0" fillId="0" borderId="0" xfId="0" applyNumberFormat="1"/>
    <xf numFmtId="0" fontId="7" fillId="0" borderId="0" xfId="0" applyFont="1"/>
    <xf numFmtId="0" fontId="8" fillId="0" borderId="0" xfId="0" applyFont="1" applyAlignment="1">
      <alignment horizontal="center"/>
    </xf>
    <xf numFmtId="0" fontId="8" fillId="0" borderId="0" xfId="0" applyFont="1"/>
    <xf numFmtId="14" fontId="7" fillId="0" borderId="0" xfId="0" applyNumberFormat="1" applyFont="1" applyAlignment="1">
      <alignment horizontal="left"/>
    </xf>
    <xf numFmtId="0" fontId="9" fillId="3" borderId="3" xfId="0" applyFont="1" applyFill="1" applyBorder="1"/>
    <xf numFmtId="44" fontId="0" fillId="0" borderId="0" xfId="1" applyFont="1" applyFill="1" applyBorder="1" applyAlignment="1">
      <alignment horizontal="center"/>
    </xf>
    <xf numFmtId="0" fontId="0" fillId="3" borderId="0" xfId="0" applyFill="1" applyAlignment="1">
      <alignment horizontal="center"/>
    </xf>
    <xf numFmtId="0" fontId="7" fillId="4" borderId="6" xfId="0" applyFont="1" applyFill="1" applyBorder="1"/>
    <xf numFmtId="0" fontId="0" fillId="4" borderId="6" xfId="0" applyFill="1" applyBorder="1"/>
    <xf numFmtId="0" fontId="0" fillId="3" borderId="2" xfId="0" applyFill="1" applyBorder="1" applyAlignment="1">
      <alignment horizontal="center"/>
    </xf>
    <xf numFmtId="0" fontId="10" fillId="4" borderId="0" xfId="0" applyFont="1" applyFill="1"/>
    <xf numFmtId="0" fontId="0" fillId="0" borderId="12" xfId="0" applyBorder="1"/>
    <xf numFmtId="40" fontId="8" fillId="0" borderId="0" xfId="0" applyNumberFormat="1" applyFont="1"/>
    <xf numFmtId="40" fontId="0" fillId="0" borderId="0" xfId="0" applyNumberFormat="1"/>
    <xf numFmtId="40" fontId="10" fillId="0" borderId="0" xfId="0" applyNumberFormat="1" applyFont="1"/>
    <xf numFmtId="40" fontId="0" fillId="0" borderId="0" xfId="0" applyNumberFormat="1" applyAlignment="1">
      <alignment horizontal="center"/>
    </xf>
    <xf numFmtId="0" fontId="9" fillId="0" borderId="0" xfId="0" applyFont="1"/>
    <xf numFmtId="0" fontId="0" fillId="0" borderId="11" xfId="0" applyBorder="1"/>
    <xf numFmtId="4" fontId="0" fillId="0" borderId="0" xfId="0" applyNumberFormat="1" applyAlignment="1">
      <alignment horizontal="left"/>
    </xf>
    <xf numFmtId="40" fontId="6" fillId="0" borderId="0" xfId="0" applyNumberFormat="1" applyFont="1" applyAlignment="1">
      <alignment horizontal="center" vertical="center" wrapText="1"/>
    </xf>
    <xf numFmtId="40" fontId="0" fillId="0" borderId="0" xfId="1" applyNumberFormat="1" applyFont="1" applyFill="1" applyBorder="1" applyAlignment="1"/>
    <xf numFmtId="0" fontId="0" fillId="4" borderId="11" xfId="0" applyFill="1" applyBorder="1"/>
    <xf numFmtId="0" fontId="9" fillId="3" borderId="0" xfId="0" applyFont="1" applyFill="1"/>
    <xf numFmtId="0" fontId="9" fillId="3" borderId="5" xfId="0" applyFont="1" applyFill="1" applyBorder="1"/>
    <xf numFmtId="0" fontId="9" fillId="4" borderId="13" xfId="0" applyFont="1" applyFill="1" applyBorder="1"/>
    <xf numFmtId="0" fontId="9" fillId="4" borderId="14" xfId="0" applyFont="1" applyFill="1" applyBorder="1"/>
    <xf numFmtId="0" fontId="9" fillId="3" borderId="16" xfId="0" applyFont="1" applyFill="1" applyBorder="1"/>
    <xf numFmtId="49" fontId="11" fillId="0" borderId="0" xfId="0" applyNumberFormat="1" applyFont="1" applyAlignment="1">
      <alignment horizontal="center"/>
    </xf>
    <xf numFmtId="0" fontId="11" fillId="0" borderId="0" xfId="0" applyFont="1"/>
    <xf numFmtId="0" fontId="12" fillId="0" borderId="0" xfId="0" applyFont="1"/>
    <xf numFmtId="0" fontId="13" fillId="0" borderId="0" xfId="0" applyFont="1"/>
    <xf numFmtId="0" fontId="13" fillId="0" borderId="0" xfId="0" applyFont="1" applyAlignment="1">
      <alignment horizontal="center"/>
    </xf>
    <xf numFmtId="49" fontId="14" fillId="0" borderId="0" xfId="0" applyNumberFormat="1" applyFont="1" applyAlignment="1">
      <alignment horizontal="center" vertical="center"/>
    </xf>
    <xf numFmtId="0" fontId="0" fillId="0" borderId="0" xfId="0" applyAlignment="1">
      <alignment horizontal="center" vertical="center"/>
    </xf>
    <xf numFmtId="49" fontId="15" fillId="0" borderId="30" xfId="0" applyNumberFormat="1" applyFont="1" applyBorder="1" applyAlignment="1">
      <alignment vertical="center"/>
    </xf>
    <xf numFmtId="0" fontId="17" fillId="0" borderId="0" xfId="0" applyFont="1" applyAlignment="1">
      <alignment vertical="center"/>
    </xf>
    <xf numFmtId="0" fontId="17" fillId="0" borderId="30" xfId="0" applyFont="1" applyBorder="1" applyAlignment="1">
      <alignment vertical="center"/>
    </xf>
    <xf numFmtId="49" fontId="14" fillId="0" borderId="0" xfId="0" applyNumberFormat="1" applyFont="1" applyAlignment="1">
      <alignment vertical="center"/>
    </xf>
    <xf numFmtId="0" fontId="0" fillId="0" borderId="0" xfId="0" applyAlignment="1">
      <alignment vertical="center"/>
    </xf>
    <xf numFmtId="49" fontId="14" fillId="0" borderId="0" xfId="0" applyNumberFormat="1" applyFont="1"/>
    <xf numFmtId="49" fontId="14" fillId="0" borderId="2" xfId="0" applyNumberFormat="1" applyFont="1" applyBorder="1"/>
    <xf numFmtId="49" fontId="18" fillId="0" borderId="0" xfId="0" applyNumberFormat="1" applyFont="1" applyAlignment="1">
      <alignment vertical="center"/>
    </xf>
    <xf numFmtId="49" fontId="18" fillId="0" borderId="2" xfId="0" applyNumberFormat="1" applyFont="1" applyBorder="1" applyAlignment="1">
      <alignment vertical="center"/>
    </xf>
    <xf numFmtId="49" fontId="14" fillId="0" borderId="3" xfId="0" applyNumberFormat="1" applyFont="1" applyBorder="1" applyAlignment="1">
      <alignment vertical="center"/>
    </xf>
    <xf numFmtId="49" fontId="15" fillId="0" borderId="31" xfId="0" applyNumberFormat="1" applyFont="1" applyBorder="1" applyAlignment="1">
      <alignment vertical="center"/>
    </xf>
    <xf numFmtId="0" fontId="15" fillId="0" borderId="0" xfId="0" applyFont="1" applyAlignment="1">
      <alignment vertical="center"/>
    </xf>
    <xf numFmtId="0" fontId="15" fillId="0" borderId="30" xfId="0" applyFont="1" applyBorder="1" applyAlignment="1">
      <alignment vertical="center"/>
    </xf>
    <xf numFmtId="0" fontId="11" fillId="0" borderId="0" xfId="0" applyFont="1" applyAlignment="1">
      <alignment vertical="center"/>
    </xf>
    <xf numFmtId="49" fontId="19" fillId="0" borderId="27" xfId="0" applyNumberFormat="1" applyFont="1" applyBorder="1" applyAlignment="1">
      <alignment vertical="center"/>
    </xf>
    <xf numFmtId="49" fontId="14" fillId="0" borderId="27" xfId="0" applyNumberFormat="1" applyFont="1" applyBorder="1" applyAlignment="1">
      <alignment vertical="center"/>
    </xf>
    <xf numFmtId="49" fontId="14" fillId="0" borderId="2" xfId="0" applyNumberFormat="1" applyFont="1" applyBorder="1" applyAlignment="1">
      <alignment vertical="center"/>
    </xf>
    <xf numFmtId="49" fontId="19" fillId="0" borderId="28" xfId="0" applyNumberFormat="1" applyFont="1" applyBorder="1" applyAlignment="1">
      <alignment vertical="center"/>
    </xf>
    <xf numFmtId="49" fontId="14" fillId="0" borderId="28" xfId="0" applyNumberFormat="1" applyFont="1" applyBorder="1" applyAlignment="1">
      <alignment vertical="center"/>
    </xf>
    <xf numFmtId="49" fontId="20" fillId="0" borderId="0" xfId="0" applyNumberFormat="1" applyFont="1" applyAlignment="1">
      <alignment horizontal="center"/>
    </xf>
    <xf numFmtId="0" fontId="0" fillId="5" borderId="0" xfId="0" applyFill="1"/>
    <xf numFmtId="49" fontId="21" fillId="0" borderId="0" xfId="0" applyNumberFormat="1" applyFont="1" applyAlignment="1">
      <alignment horizontal="center"/>
    </xf>
    <xf numFmtId="0" fontId="0" fillId="6" borderId="0" xfId="0" applyFill="1"/>
    <xf numFmtId="49" fontId="22" fillId="6" borderId="0" xfId="0" applyNumberFormat="1" applyFont="1" applyFill="1"/>
    <xf numFmtId="0" fontId="0" fillId="7" borderId="0" xfId="0" applyFill="1"/>
    <xf numFmtId="49" fontId="22" fillId="7" borderId="0" xfId="0" applyNumberFormat="1" applyFont="1" applyFill="1"/>
    <xf numFmtId="0" fontId="0" fillId="7" borderId="0" xfId="0" applyFill="1" applyAlignment="1">
      <alignment horizontal="center"/>
    </xf>
    <xf numFmtId="49" fontId="21" fillId="0" borderId="0" xfId="0" applyNumberFormat="1" applyFont="1" applyAlignment="1">
      <alignment horizontal="left"/>
    </xf>
    <xf numFmtId="0" fontId="0" fillId="10" borderId="0" xfId="0" applyFill="1"/>
    <xf numFmtId="0" fontId="0" fillId="8" borderId="0" xfId="0" applyFill="1"/>
    <xf numFmtId="49" fontId="21" fillId="0" borderId="0" xfId="0" applyNumberFormat="1" applyFont="1"/>
    <xf numFmtId="0" fontId="0" fillId="0" borderId="3" xfId="0" applyBorder="1"/>
    <xf numFmtId="49" fontId="22" fillId="8" borderId="0" xfId="0" applyNumberFormat="1" applyFont="1" applyFill="1"/>
    <xf numFmtId="0" fontId="0" fillId="9" borderId="0" xfId="0" applyFill="1" applyAlignment="1">
      <alignment horizontal="center"/>
    </xf>
    <xf numFmtId="0" fontId="21" fillId="0" borderId="0" xfId="0" applyFont="1"/>
    <xf numFmtId="0" fontId="0" fillId="11" borderId="0" xfId="0" applyFill="1"/>
    <xf numFmtId="0" fontId="23" fillId="0" borderId="0" xfId="0" applyFont="1"/>
    <xf numFmtId="0" fontId="0" fillId="0" borderId="0" xfId="0" applyAlignment="1">
      <alignment horizontal="right"/>
    </xf>
    <xf numFmtId="49" fontId="22" fillId="7" borderId="0" xfId="0" applyNumberFormat="1" applyFont="1" applyFill="1" applyAlignment="1">
      <alignment horizontal="left"/>
    </xf>
    <xf numFmtId="49" fontId="22" fillId="10" borderId="0" xfId="0" applyNumberFormat="1" applyFont="1" applyFill="1"/>
    <xf numFmtId="49" fontId="21" fillId="6" borderId="34" xfId="0" applyNumberFormat="1" applyFont="1" applyFill="1" applyBorder="1"/>
    <xf numFmtId="49" fontId="21" fillId="6" borderId="28" xfId="0" applyNumberFormat="1" applyFont="1" applyFill="1" applyBorder="1"/>
    <xf numFmtId="49" fontId="21" fillId="6" borderId="16" xfId="0" applyNumberFormat="1" applyFont="1" applyFill="1" applyBorder="1"/>
    <xf numFmtId="49" fontId="21" fillId="7" borderId="34" xfId="0" applyNumberFormat="1" applyFont="1" applyFill="1" applyBorder="1"/>
    <xf numFmtId="49" fontId="21" fillId="7" borderId="28" xfId="0" applyNumberFormat="1" applyFont="1" applyFill="1" applyBorder="1"/>
    <xf numFmtId="49" fontId="21" fillId="7" borderId="16" xfId="0" applyNumberFormat="1" applyFont="1" applyFill="1" applyBorder="1"/>
    <xf numFmtId="49" fontId="21" fillId="7" borderId="16" xfId="0" applyNumberFormat="1" applyFont="1" applyFill="1" applyBorder="1" applyAlignment="1">
      <alignment horizontal="center"/>
    </xf>
    <xf numFmtId="49" fontId="21" fillId="10" borderId="34" xfId="0" applyNumberFormat="1" applyFont="1" applyFill="1" applyBorder="1"/>
    <xf numFmtId="49" fontId="21" fillId="10" borderId="28" xfId="0" applyNumberFormat="1" applyFont="1" applyFill="1" applyBorder="1"/>
    <xf numFmtId="49" fontId="21" fillId="10" borderId="16" xfId="0" applyNumberFormat="1" applyFont="1" applyFill="1" applyBorder="1"/>
    <xf numFmtId="49" fontId="21" fillId="8" borderId="34" xfId="0" applyNumberFormat="1" applyFont="1" applyFill="1" applyBorder="1"/>
    <xf numFmtId="49" fontId="21" fillId="8" borderId="28" xfId="0" applyNumberFormat="1" applyFont="1" applyFill="1" applyBorder="1"/>
    <xf numFmtId="49" fontId="22" fillId="8" borderId="16" xfId="0" applyNumberFormat="1" applyFont="1" applyFill="1" applyBorder="1"/>
    <xf numFmtId="49" fontId="21" fillId="9" borderId="34" xfId="0" applyNumberFormat="1" applyFont="1" applyFill="1" applyBorder="1"/>
    <xf numFmtId="0" fontId="9" fillId="3" borderId="8" xfId="0" applyFont="1" applyFill="1" applyBorder="1" applyAlignment="1">
      <alignment horizontal="center" wrapText="1"/>
    </xf>
    <xf numFmtId="40" fontId="6" fillId="3" borderId="9" xfId="0" applyNumberFormat="1" applyFont="1" applyFill="1" applyBorder="1" applyAlignment="1">
      <alignment horizontal="center" vertical="center" wrapText="1"/>
    </xf>
    <xf numFmtId="0" fontId="9" fillId="3" borderId="22" xfId="0" applyFont="1" applyFill="1" applyBorder="1" applyAlignment="1">
      <alignment horizontal="center" vertical="center"/>
    </xf>
    <xf numFmtId="0" fontId="0" fillId="0" borderId="2" xfId="0" applyBorder="1" applyAlignment="1">
      <alignment vertical="center"/>
    </xf>
    <xf numFmtId="49" fontId="14" fillId="0" borderId="27" xfId="0" applyNumberFormat="1" applyFont="1" applyBorder="1"/>
    <xf numFmtId="0" fontId="0" fillId="0" borderId="27" xfId="0" applyBorder="1"/>
    <xf numFmtId="0" fontId="0" fillId="4" borderId="33" xfId="0" applyFill="1" applyBorder="1"/>
    <xf numFmtId="0" fontId="0" fillId="4" borderId="33" xfId="0" applyFill="1" applyBorder="1" applyAlignment="1">
      <alignment horizontal="center"/>
    </xf>
    <xf numFmtId="40" fontId="0" fillId="4" borderId="33" xfId="0" applyNumberFormat="1" applyFill="1" applyBorder="1"/>
    <xf numFmtId="40" fontId="0" fillId="4" borderId="42" xfId="0" applyNumberFormat="1" applyFill="1" applyBorder="1"/>
    <xf numFmtId="0" fontId="23" fillId="0" borderId="0" xfId="0" applyFont="1" applyAlignment="1">
      <alignment horizontal="center"/>
    </xf>
    <xf numFmtId="38" fontId="22" fillId="6" borderId="37" xfId="0" applyNumberFormat="1" applyFont="1" applyFill="1" applyBorder="1" applyAlignment="1">
      <alignment horizontal="right"/>
    </xf>
    <xf numFmtId="38" fontId="22" fillId="6" borderId="39" xfId="0" applyNumberFormat="1" applyFont="1" applyFill="1" applyBorder="1" applyAlignment="1">
      <alignment horizontal="right"/>
    </xf>
    <xf numFmtId="38" fontId="22" fillId="6" borderId="1" xfId="1" applyNumberFormat="1" applyFont="1" applyFill="1" applyBorder="1" applyAlignment="1">
      <alignment horizontal="right"/>
    </xf>
    <xf numFmtId="38" fontId="22" fillId="6" borderId="9" xfId="1" applyNumberFormat="1" applyFont="1" applyFill="1" applyBorder="1" applyAlignment="1">
      <alignment horizontal="right"/>
    </xf>
    <xf numFmtId="38" fontId="21" fillId="0" borderId="0" xfId="1" applyNumberFormat="1" applyFont="1" applyBorder="1" applyAlignment="1">
      <alignment horizontal="right"/>
    </xf>
    <xf numFmtId="38" fontId="8" fillId="0" borderId="0" xfId="1" applyNumberFormat="1" applyFont="1" applyBorder="1" applyAlignment="1">
      <alignment horizontal="right"/>
    </xf>
    <xf numFmtId="38" fontId="22" fillId="7" borderId="37" xfId="1" applyNumberFormat="1" applyFont="1" applyFill="1" applyBorder="1" applyAlignment="1">
      <alignment horizontal="right"/>
    </xf>
    <xf numFmtId="38" fontId="22" fillId="7" borderId="39" xfId="1" applyNumberFormat="1" applyFont="1" applyFill="1" applyBorder="1" applyAlignment="1">
      <alignment horizontal="right"/>
    </xf>
    <xf numFmtId="38" fontId="22" fillId="7" borderId="1" xfId="1" applyNumberFormat="1" applyFont="1" applyFill="1" applyBorder="1" applyAlignment="1">
      <alignment horizontal="right"/>
    </xf>
    <xf numFmtId="38" fontId="22" fillId="7" borderId="9" xfId="1" applyNumberFormat="1" applyFont="1" applyFill="1" applyBorder="1" applyAlignment="1">
      <alignment horizontal="right"/>
    </xf>
    <xf numFmtId="38" fontId="21" fillId="0" borderId="0" xfId="1" applyNumberFormat="1" applyFont="1" applyFill="1" applyBorder="1" applyAlignment="1">
      <alignment horizontal="right"/>
    </xf>
    <xf numFmtId="38" fontId="22" fillId="10" borderId="37" xfId="1" applyNumberFormat="1" applyFont="1" applyFill="1" applyBorder="1" applyAlignment="1">
      <alignment horizontal="right"/>
    </xf>
    <xf numFmtId="38" fontId="22" fillId="10" borderId="39" xfId="1" applyNumberFormat="1" applyFont="1" applyFill="1" applyBorder="1" applyAlignment="1">
      <alignment horizontal="right"/>
    </xf>
    <xf numFmtId="38" fontId="22" fillId="10" borderId="1" xfId="1" applyNumberFormat="1" applyFont="1" applyFill="1" applyBorder="1" applyAlignment="1">
      <alignment horizontal="right"/>
    </xf>
    <xf numFmtId="38" fontId="22" fillId="10" borderId="9" xfId="1" applyNumberFormat="1" applyFont="1" applyFill="1" applyBorder="1" applyAlignment="1">
      <alignment horizontal="right"/>
    </xf>
    <xf numFmtId="38" fontId="22" fillId="8" borderId="1" xfId="1" applyNumberFormat="1" applyFont="1" applyFill="1" applyBorder="1" applyAlignment="1">
      <alignment horizontal="right"/>
    </xf>
    <xf numFmtId="38" fontId="22" fillId="8" borderId="9" xfId="1" applyNumberFormat="1" applyFont="1" applyFill="1" applyBorder="1" applyAlignment="1">
      <alignment horizontal="right"/>
    </xf>
    <xf numFmtId="38" fontId="21" fillId="8" borderId="37" xfId="1" applyNumberFormat="1" applyFont="1" applyFill="1" applyBorder="1" applyAlignment="1">
      <alignment horizontal="right"/>
    </xf>
    <xf numFmtId="38" fontId="21" fillId="8" borderId="39" xfId="1" applyNumberFormat="1" applyFont="1" applyFill="1" applyBorder="1" applyAlignment="1">
      <alignment horizontal="right"/>
    </xf>
    <xf numFmtId="38" fontId="0" fillId="0" borderId="0" xfId="0" applyNumberFormat="1" applyAlignment="1">
      <alignment horizontal="right"/>
    </xf>
    <xf numFmtId="6" fontId="0" fillId="0" borderId="0" xfId="0" applyNumberFormat="1"/>
    <xf numFmtId="6" fontId="0" fillId="5" borderId="0" xfId="0" applyNumberFormat="1" applyFill="1"/>
    <xf numFmtId="6" fontId="0" fillId="6" borderId="18" xfId="0" applyNumberFormat="1" applyFill="1" applyBorder="1"/>
    <xf numFmtId="6" fontId="21" fillId="6" borderId="19" xfId="0" applyNumberFormat="1" applyFont="1" applyFill="1" applyBorder="1" applyAlignment="1">
      <alignment horizontal="center"/>
    </xf>
    <xf numFmtId="6" fontId="21" fillId="6" borderId="25" xfId="1" applyNumberFormat="1" applyFont="1" applyFill="1" applyBorder="1" applyAlignment="1">
      <alignment horizontal="right"/>
    </xf>
    <xf numFmtId="6" fontId="0" fillId="6" borderId="0" xfId="0" applyNumberFormat="1" applyFill="1"/>
    <xf numFmtId="6" fontId="0" fillId="7" borderId="18" xfId="0" applyNumberFormat="1" applyFill="1" applyBorder="1" applyAlignment="1">
      <alignment horizontal="center"/>
    </xf>
    <xf numFmtId="6" fontId="21" fillId="7" borderId="19" xfId="0" applyNumberFormat="1" applyFont="1" applyFill="1" applyBorder="1" applyAlignment="1">
      <alignment horizontal="center"/>
    </xf>
    <xf numFmtId="6" fontId="21" fillId="7" borderId="25" xfId="1" applyNumberFormat="1" applyFont="1" applyFill="1" applyBorder="1" applyAlignment="1">
      <alignment horizontal="right"/>
    </xf>
    <xf numFmtId="6" fontId="0" fillId="7" borderId="0" xfId="0" applyNumberFormat="1" applyFill="1" applyAlignment="1">
      <alignment horizontal="center"/>
    </xf>
    <xf numFmtId="6" fontId="0" fillId="10" borderId="18" xfId="0" applyNumberFormat="1" applyFill="1" applyBorder="1"/>
    <xf numFmtId="6" fontId="21" fillId="10" borderId="19" xfId="0" applyNumberFormat="1" applyFont="1" applyFill="1" applyBorder="1" applyAlignment="1">
      <alignment horizontal="center"/>
    </xf>
    <xf numFmtId="6" fontId="21" fillId="10" borderId="25" xfId="1" applyNumberFormat="1" applyFont="1" applyFill="1" applyBorder="1" applyAlignment="1">
      <alignment horizontal="right"/>
    </xf>
    <xf numFmtId="6" fontId="21" fillId="10" borderId="20" xfId="1" applyNumberFormat="1" applyFont="1" applyFill="1" applyBorder="1" applyAlignment="1">
      <alignment horizontal="right"/>
    </xf>
    <xf numFmtId="6" fontId="0" fillId="10" borderId="0" xfId="0" applyNumberFormat="1" applyFill="1"/>
    <xf numFmtId="6" fontId="21" fillId="8" borderId="19" xfId="0" applyNumberFormat="1" applyFont="1" applyFill="1" applyBorder="1" applyAlignment="1">
      <alignment horizontal="center"/>
    </xf>
    <xf numFmtId="6" fontId="21" fillId="8" borderId="25" xfId="1" applyNumberFormat="1" applyFont="1" applyFill="1" applyBorder="1" applyAlignment="1">
      <alignment horizontal="right"/>
    </xf>
    <xf numFmtId="6" fontId="0" fillId="0" borderId="2" xfId="0" applyNumberFormat="1" applyBorder="1"/>
    <xf numFmtId="6" fontId="0" fillId="8" borderId="2" xfId="0" applyNumberFormat="1" applyFill="1" applyBorder="1"/>
    <xf numFmtId="6" fontId="0" fillId="8" borderId="18" xfId="0" applyNumberFormat="1" applyFill="1" applyBorder="1"/>
    <xf numFmtId="6" fontId="0" fillId="9" borderId="35" xfId="0" applyNumberFormat="1" applyFill="1" applyBorder="1"/>
    <xf numFmtId="6" fontId="0" fillId="9" borderId="0" xfId="0" applyNumberFormat="1" applyFill="1"/>
    <xf numFmtId="6" fontId="0" fillId="0" borderId="0" xfId="0" applyNumberFormat="1" applyAlignment="1">
      <alignment horizontal="right"/>
    </xf>
    <xf numFmtId="41" fontId="0" fillId="0" borderId="0" xfId="0" applyNumberFormat="1"/>
    <xf numFmtId="41" fontId="13" fillId="0" borderId="0" xfId="0" applyNumberFormat="1" applyFont="1"/>
    <xf numFmtId="41" fontId="14" fillId="0" borderId="0" xfId="0" applyNumberFormat="1" applyFont="1" applyAlignment="1">
      <alignment horizontal="center" vertical="center"/>
    </xf>
    <xf numFmtId="41" fontId="18" fillId="0" borderId="0" xfId="0" applyNumberFormat="1" applyFont="1" applyAlignment="1">
      <alignment vertical="center"/>
    </xf>
    <xf numFmtId="41" fontId="18" fillId="0" borderId="27" xfId="0" applyNumberFormat="1" applyFont="1" applyBorder="1"/>
    <xf numFmtId="41" fontId="18" fillId="0" borderId="2" xfId="0" applyNumberFormat="1" applyFont="1" applyBorder="1" applyAlignment="1">
      <alignment vertical="center"/>
    </xf>
    <xf numFmtId="41" fontId="14" fillId="0" borderId="0" xfId="0" applyNumberFormat="1" applyFont="1" applyAlignment="1">
      <alignment vertical="center"/>
    </xf>
    <xf numFmtId="41" fontId="18" fillId="0" borderId="2" xfId="0" applyNumberFormat="1" applyFont="1" applyBorder="1"/>
    <xf numFmtId="41" fontId="14" fillId="0" borderId="3" xfId="0" applyNumberFormat="1" applyFont="1" applyBorder="1" applyAlignment="1">
      <alignment vertical="center"/>
    </xf>
    <xf numFmtId="41" fontId="16" fillId="0" borderId="30" xfId="0" applyNumberFormat="1" applyFont="1" applyBorder="1" applyAlignment="1">
      <alignment vertical="center"/>
    </xf>
    <xf numFmtId="41" fontId="18" fillId="0" borderId="27" xfId="0" applyNumberFormat="1" applyFont="1" applyBorder="1" applyAlignment="1">
      <alignment vertical="center"/>
    </xf>
    <xf numFmtId="41" fontId="18" fillId="0" borderId="6" xfId="0" applyNumberFormat="1" applyFont="1" applyBorder="1" applyAlignment="1">
      <alignment vertical="center"/>
    </xf>
    <xf numFmtId="42" fontId="18" fillId="0" borderId="0" xfId="0" applyNumberFormat="1" applyFont="1" applyAlignment="1">
      <alignment vertical="center"/>
    </xf>
    <xf numFmtId="42" fontId="15" fillId="0" borderId="31" xfId="0" applyNumberFormat="1" applyFont="1" applyBorder="1" applyAlignment="1">
      <alignment vertical="center"/>
    </xf>
    <xf numFmtId="41" fontId="0" fillId="0" borderId="0" xfId="0" applyNumberFormat="1" applyAlignment="1">
      <alignment vertical="center"/>
    </xf>
    <xf numFmtId="164" fontId="0" fillId="0" borderId="0" xfId="1" applyNumberFormat="1" applyFont="1" applyFill="1" applyBorder="1" applyAlignment="1"/>
    <xf numFmtId="42" fontId="0" fillId="0" borderId="0" xfId="0" applyNumberFormat="1"/>
    <xf numFmtId="42" fontId="6" fillId="3" borderId="6" xfId="0" applyNumberFormat="1" applyFont="1" applyFill="1" applyBorder="1"/>
    <xf numFmtId="0" fontId="9" fillId="4" borderId="32" xfId="0" applyFont="1" applyFill="1" applyBorder="1" applyAlignment="1">
      <alignment vertical="center"/>
    </xf>
    <xf numFmtId="0" fontId="9" fillId="4" borderId="33" xfId="0" applyFont="1" applyFill="1" applyBorder="1" applyAlignment="1">
      <alignment vertical="center"/>
    </xf>
    <xf numFmtId="0" fontId="9" fillId="4" borderId="42" xfId="0" applyFont="1" applyFill="1" applyBorder="1" applyAlignment="1">
      <alignment vertical="center"/>
    </xf>
    <xf numFmtId="40" fontId="6" fillId="3" borderId="47" xfId="0" applyNumberFormat="1" applyFont="1" applyFill="1" applyBorder="1" applyAlignment="1">
      <alignment horizontal="center" vertical="center" wrapText="1"/>
    </xf>
    <xf numFmtId="0" fontId="9" fillId="3" borderId="35" xfId="0" applyFont="1" applyFill="1" applyBorder="1"/>
    <xf numFmtId="0" fontId="9" fillId="3" borderId="27" xfId="0" applyFont="1" applyFill="1" applyBorder="1"/>
    <xf numFmtId="0" fontId="9" fillId="3" borderId="27" xfId="0" applyFont="1" applyFill="1" applyBorder="1" applyAlignment="1">
      <alignment horizontal="center"/>
    </xf>
    <xf numFmtId="14" fontId="9" fillId="3" borderId="27" xfId="0" applyNumberFormat="1" applyFont="1" applyFill="1" applyBorder="1" applyAlignment="1">
      <alignment horizontal="center"/>
    </xf>
    <xf numFmtId="42" fontId="25" fillId="0" borderId="0" xfId="0" applyNumberFormat="1" applyFont="1" applyAlignment="1">
      <alignment horizontal="right" vertical="center"/>
    </xf>
    <xf numFmtId="41" fontId="18" fillId="0" borderId="0" xfId="0" applyNumberFormat="1" applyFont="1"/>
    <xf numFmtId="49" fontId="15" fillId="0" borderId="0" xfId="0" applyNumberFormat="1" applyFont="1" applyAlignment="1">
      <alignment vertical="center"/>
    </xf>
    <xf numFmtId="42" fontId="15" fillId="0" borderId="0" xfId="0" applyNumberFormat="1" applyFont="1" applyAlignment="1">
      <alignment vertical="center"/>
    </xf>
    <xf numFmtId="41" fontId="16" fillId="0" borderId="0" xfId="0" applyNumberFormat="1" applyFont="1" applyAlignment="1">
      <alignment vertical="center"/>
    </xf>
    <xf numFmtId="49" fontId="19" fillId="0" borderId="0" xfId="0" applyNumberFormat="1" applyFont="1" applyAlignment="1">
      <alignment vertical="center"/>
    </xf>
    <xf numFmtId="42" fontId="14" fillId="0" borderId="0" xfId="0" applyNumberFormat="1" applyFont="1" applyAlignment="1">
      <alignment vertical="center"/>
    </xf>
    <xf numFmtId="0" fontId="26" fillId="0" borderId="0" xfId="0" applyFont="1"/>
    <xf numFmtId="41" fontId="26" fillId="0" borderId="0" xfId="0" applyNumberFormat="1" applyFont="1" applyAlignment="1">
      <alignment vertical="center"/>
    </xf>
    <xf numFmtId="41" fontId="18" fillId="0" borderId="0" xfId="0" applyNumberFormat="1" applyFont="1" applyAlignment="1">
      <alignment horizontal="right" vertical="center"/>
    </xf>
    <xf numFmtId="41" fontId="26" fillId="0" borderId="0" xfId="0" applyNumberFormat="1" applyFont="1"/>
    <xf numFmtId="0" fontId="27" fillId="0" borderId="0" xfId="0" applyFont="1"/>
    <xf numFmtId="38" fontId="18" fillId="0" borderId="0" xfId="0" applyNumberFormat="1" applyFont="1" applyAlignment="1">
      <alignment vertical="center"/>
    </xf>
    <xf numFmtId="165" fontId="28" fillId="0" borderId="27" xfId="0" applyNumberFormat="1" applyFont="1" applyBorder="1" applyAlignment="1">
      <alignment horizontal="center"/>
    </xf>
    <xf numFmtId="10" fontId="0" fillId="0" borderId="0" xfId="0" applyNumberFormat="1"/>
    <xf numFmtId="0" fontId="29" fillId="0" borderId="0" xfId="0" applyFont="1" applyAlignment="1">
      <alignment horizontal="left"/>
    </xf>
    <xf numFmtId="42" fontId="9" fillId="3" borderId="46" xfId="1" applyNumberFormat="1" applyFont="1" applyFill="1" applyBorder="1" applyAlignment="1"/>
    <xf numFmtId="42" fontId="6" fillId="3" borderId="35" xfId="0" applyNumberFormat="1" applyFont="1" applyFill="1" applyBorder="1"/>
    <xf numFmtId="0" fontId="0" fillId="0" borderId="49" xfId="0" applyBorder="1"/>
    <xf numFmtId="0" fontId="0" fillId="0" borderId="46" xfId="0" applyBorder="1"/>
    <xf numFmtId="42" fontId="6" fillId="3" borderId="27" xfId="0" applyNumberFormat="1" applyFont="1" applyFill="1" applyBorder="1"/>
    <xf numFmtId="42" fontId="6" fillId="3" borderId="27" xfId="0" applyNumberFormat="1" applyFont="1" applyFill="1" applyBorder="1" applyAlignment="1">
      <alignment horizontal="center"/>
    </xf>
    <xf numFmtId="14" fontId="0" fillId="0" borderId="49" xfId="0" applyNumberFormat="1" applyBorder="1" applyAlignment="1">
      <alignment horizontal="center"/>
    </xf>
    <xf numFmtId="0" fontId="0" fillId="0" borderId="49" xfId="0" applyBorder="1" applyAlignment="1">
      <alignment horizontal="center"/>
    </xf>
    <xf numFmtId="42" fontId="6" fillId="3" borderId="40" xfId="0" applyNumberFormat="1" applyFont="1" applyFill="1" applyBorder="1"/>
    <xf numFmtId="41" fontId="0" fillId="0" borderId="49" xfId="1" applyNumberFormat="1" applyFont="1" applyFill="1" applyBorder="1" applyAlignment="1"/>
    <xf numFmtId="41" fontId="0" fillId="0" borderId="46" xfId="1" applyNumberFormat="1" applyFont="1" applyFill="1" applyBorder="1" applyAlignment="1"/>
    <xf numFmtId="42" fontId="6" fillId="3" borderId="50" xfId="0" applyNumberFormat="1" applyFont="1" applyFill="1" applyBorder="1"/>
    <xf numFmtId="42" fontId="6" fillId="3" borderId="51" xfId="0" applyNumberFormat="1" applyFont="1" applyFill="1" applyBorder="1"/>
    <xf numFmtId="0" fontId="9" fillId="4" borderId="34" xfId="0" applyFont="1" applyFill="1" applyBorder="1"/>
    <xf numFmtId="0" fontId="7" fillId="4" borderId="28" xfId="0" applyFont="1" applyFill="1" applyBorder="1"/>
    <xf numFmtId="0" fontId="7" fillId="4" borderId="28" xfId="0" applyFont="1" applyFill="1" applyBorder="1" applyAlignment="1">
      <alignment horizontal="center"/>
    </xf>
    <xf numFmtId="40" fontId="7" fillId="4" borderId="28" xfId="0" applyNumberFormat="1" applyFont="1" applyFill="1" applyBorder="1"/>
    <xf numFmtId="38" fontId="0" fillId="0" borderId="46" xfId="1" applyNumberFormat="1" applyFont="1" applyFill="1" applyBorder="1" applyAlignment="1"/>
    <xf numFmtId="40" fontId="7" fillId="4" borderId="41" xfId="0" applyNumberFormat="1" applyFont="1" applyFill="1" applyBorder="1"/>
    <xf numFmtId="40" fontId="7" fillId="4" borderId="36" xfId="0" applyNumberFormat="1" applyFont="1" applyFill="1" applyBorder="1"/>
    <xf numFmtId="41" fontId="0" fillId="0" borderId="48" xfId="1" applyNumberFormat="1" applyFont="1" applyFill="1" applyBorder="1" applyAlignment="1"/>
    <xf numFmtId="38" fontId="0" fillId="0" borderId="49" xfId="1" applyNumberFormat="1" applyFont="1" applyFill="1" applyBorder="1" applyAlignment="1"/>
    <xf numFmtId="41" fontId="0" fillId="0" borderId="0" xfId="1" applyNumberFormat="1" applyFont="1" applyFill="1" applyBorder="1" applyAlignment="1"/>
    <xf numFmtId="38" fontId="0" fillId="0" borderId="0" xfId="0" applyNumberFormat="1"/>
    <xf numFmtId="166" fontId="0" fillId="0" borderId="0" xfId="0" applyNumberFormat="1" applyAlignment="1">
      <alignment horizontal="right"/>
    </xf>
    <xf numFmtId="0" fontId="30" fillId="0" borderId="0" xfId="0" applyFont="1" applyAlignment="1">
      <alignment horizontal="center"/>
    </xf>
    <xf numFmtId="0" fontId="6" fillId="3" borderId="44" xfId="0" applyFont="1" applyFill="1" applyBorder="1" applyAlignment="1">
      <alignment horizontal="center" vertical="center"/>
    </xf>
    <xf numFmtId="42" fontId="6" fillId="3" borderId="32" xfId="0" applyNumberFormat="1" applyFont="1" applyFill="1" applyBorder="1"/>
    <xf numFmtId="42" fontId="6" fillId="3" borderId="33" xfId="0" applyNumberFormat="1" applyFont="1" applyFill="1" applyBorder="1"/>
    <xf numFmtId="42" fontId="6" fillId="3" borderId="42" xfId="0" applyNumberFormat="1" applyFont="1" applyFill="1" applyBorder="1"/>
    <xf numFmtId="40" fontId="6" fillId="3" borderId="44" xfId="0" applyNumberFormat="1" applyFont="1" applyFill="1" applyBorder="1" applyAlignment="1">
      <alignment horizontal="center" vertical="center"/>
    </xf>
    <xf numFmtId="40" fontId="6" fillId="3" borderId="44" xfId="0" applyNumberFormat="1" applyFont="1" applyFill="1" applyBorder="1" applyAlignment="1">
      <alignment horizontal="center" vertical="center" wrapText="1"/>
    </xf>
    <xf numFmtId="0" fontId="0" fillId="0" borderId="55" xfId="0" applyBorder="1" applyAlignment="1">
      <alignment horizontal="center" vertical="center"/>
    </xf>
    <xf numFmtId="42" fontId="14" fillId="0" borderId="31" xfId="0" applyNumberFormat="1" applyFont="1" applyBorder="1" applyAlignment="1">
      <alignment vertical="center"/>
    </xf>
    <xf numFmtId="165" fontId="28" fillId="0" borderId="0" xfId="0" applyNumberFormat="1" applyFont="1" applyAlignment="1">
      <alignment horizontal="center"/>
    </xf>
    <xf numFmtId="41" fontId="16" fillId="0" borderId="55" xfId="0" applyNumberFormat="1" applyFont="1" applyBorder="1" applyAlignment="1">
      <alignment vertical="center"/>
    </xf>
    <xf numFmtId="41" fontId="14" fillId="0" borderId="55" xfId="0" applyNumberFormat="1" applyFont="1" applyBorder="1" applyAlignment="1">
      <alignment vertical="center"/>
    </xf>
    <xf numFmtId="41" fontId="0" fillId="0" borderId="11" xfId="1" applyNumberFormat="1" applyFont="1" applyFill="1" applyBorder="1" applyAlignment="1"/>
    <xf numFmtId="41" fontId="0" fillId="0" borderId="11" xfId="0" applyNumberFormat="1" applyBorder="1"/>
    <xf numFmtId="0" fontId="0" fillId="0" borderId="52" xfId="0" applyBorder="1"/>
    <xf numFmtId="41" fontId="0" fillId="0" borderId="53" xfId="1" applyNumberFormat="1" applyFont="1" applyFill="1" applyBorder="1" applyAlignment="1"/>
    <xf numFmtId="41" fontId="0" fillId="0" borderId="54" xfId="1" applyNumberFormat="1" applyFont="1" applyFill="1" applyBorder="1" applyAlignment="1"/>
    <xf numFmtId="0" fontId="0" fillId="0" borderId="15" xfId="0" applyBorder="1"/>
    <xf numFmtId="41" fontId="0" fillId="0" borderId="56" xfId="1" applyNumberFormat="1" applyFont="1" applyFill="1" applyBorder="1" applyAlignment="1"/>
    <xf numFmtId="0" fontId="0" fillId="0" borderId="26" xfId="0" applyBorder="1"/>
    <xf numFmtId="41" fontId="0" fillId="0" borderId="20" xfId="1" applyNumberFormat="1" applyFont="1" applyFill="1" applyBorder="1" applyAlignment="1"/>
    <xf numFmtId="41" fontId="0" fillId="0" borderId="21" xfId="1" applyNumberFormat="1" applyFont="1" applyFill="1" applyBorder="1" applyAlignment="1"/>
    <xf numFmtId="43" fontId="0" fillId="0" borderId="0" xfId="0" applyNumberFormat="1" applyAlignment="1">
      <alignment vertical="center"/>
    </xf>
    <xf numFmtId="49" fontId="31" fillId="0" borderId="0" xfId="0" applyNumberFormat="1" applyFont="1" applyAlignment="1">
      <alignment vertical="center"/>
    </xf>
    <xf numFmtId="49" fontId="21" fillId="11" borderId="34" xfId="0" applyNumberFormat="1" applyFont="1" applyFill="1" applyBorder="1"/>
    <xf numFmtId="49" fontId="21" fillId="11" borderId="28" xfId="0" applyNumberFormat="1" applyFont="1" applyFill="1" applyBorder="1"/>
    <xf numFmtId="6" fontId="21" fillId="11" borderId="39" xfId="1" applyNumberFormat="1" applyFont="1" applyFill="1" applyBorder="1" applyAlignment="1">
      <alignment horizontal="right"/>
    </xf>
    <xf numFmtId="49" fontId="21" fillId="11" borderId="16" xfId="0" applyNumberFormat="1" applyFont="1" applyFill="1" applyBorder="1"/>
    <xf numFmtId="49" fontId="21" fillId="11" borderId="24" xfId="0" applyNumberFormat="1" applyFont="1" applyFill="1" applyBorder="1"/>
    <xf numFmtId="6" fontId="21" fillId="11" borderId="40" xfId="1" applyNumberFormat="1" applyFont="1" applyFill="1" applyBorder="1" applyAlignment="1">
      <alignment horizontal="right"/>
    </xf>
    <xf numFmtId="49" fontId="22" fillId="11" borderId="0" xfId="0" applyNumberFormat="1" applyFont="1" applyFill="1"/>
    <xf numFmtId="49" fontId="22" fillId="11" borderId="2" xfId="0" applyNumberFormat="1" applyFont="1" applyFill="1" applyBorder="1"/>
    <xf numFmtId="41" fontId="0" fillId="0" borderId="6" xfId="0" applyNumberFormat="1" applyBorder="1" applyAlignment="1">
      <alignment horizontal="right"/>
    </xf>
    <xf numFmtId="42" fontId="15" fillId="0" borderId="55" xfId="0" applyNumberFormat="1" applyFont="1" applyBorder="1" applyAlignment="1">
      <alignment vertical="center"/>
    </xf>
    <xf numFmtId="38" fontId="21" fillId="11" borderId="39" xfId="1" applyNumberFormat="1" applyFont="1" applyFill="1" applyBorder="1" applyAlignment="1">
      <alignment horizontal="right"/>
    </xf>
    <xf numFmtId="41" fontId="0" fillId="0" borderId="0" xfId="0" applyNumberFormat="1" applyAlignment="1">
      <alignment horizontal="right"/>
    </xf>
    <xf numFmtId="8" fontId="13" fillId="0" borderId="0" xfId="0" applyNumberFormat="1" applyFont="1"/>
    <xf numFmtId="8" fontId="0" fillId="0" borderId="0" xfId="0" applyNumberFormat="1" applyAlignment="1">
      <alignment horizontal="center" vertical="center"/>
    </xf>
    <xf numFmtId="8" fontId="0" fillId="0" borderId="0" xfId="0" applyNumberFormat="1" applyAlignment="1">
      <alignment vertical="center"/>
    </xf>
    <xf numFmtId="8" fontId="0" fillId="0" borderId="0" xfId="0" applyNumberFormat="1"/>
    <xf numFmtId="49" fontId="21" fillId="9" borderId="16" xfId="0" applyNumberFormat="1" applyFont="1" applyFill="1" applyBorder="1"/>
    <xf numFmtId="42" fontId="6" fillId="3" borderId="58" xfId="1" applyNumberFormat="1" applyFont="1" applyFill="1" applyBorder="1" applyAlignment="1"/>
    <xf numFmtId="42" fontId="6" fillId="3" borderId="38" xfId="1" applyNumberFormat="1" applyFont="1" applyFill="1" applyBorder="1" applyAlignment="1"/>
    <xf numFmtId="42" fontId="6" fillId="3" borderId="59" xfId="1" applyNumberFormat="1" applyFont="1" applyFill="1" applyBorder="1" applyAlignment="1"/>
    <xf numFmtId="42" fontId="6" fillId="3" borderId="60" xfId="1" applyNumberFormat="1" applyFont="1" applyFill="1" applyBorder="1" applyAlignment="1"/>
    <xf numFmtId="41" fontId="26" fillId="0" borderId="27" xfId="0" applyNumberFormat="1" applyFont="1" applyBorder="1" applyAlignment="1">
      <alignment vertical="center"/>
    </xf>
    <xf numFmtId="42" fontId="26" fillId="0" borderId="0" xfId="0" applyNumberFormat="1" applyFont="1" applyAlignment="1">
      <alignment vertical="center"/>
    </xf>
    <xf numFmtId="42" fontId="0" fillId="0" borderId="0" xfId="0" applyNumberFormat="1" applyAlignment="1">
      <alignment vertical="center"/>
    </xf>
    <xf numFmtId="41" fontId="32" fillId="0" borderId="49" xfId="1" applyNumberFormat="1" applyFont="1" applyFill="1" applyBorder="1" applyAlignment="1"/>
    <xf numFmtId="6" fontId="0" fillId="0" borderId="55" xfId="0" applyNumberFormat="1" applyBorder="1" applyAlignment="1">
      <alignment horizontal="right"/>
    </xf>
    <xf numFmtId="44" fontId="0" fillId="0" borderId="0" xfId="0" applyNumberFormat="1" applyAlignment="1">
      <alignment vertical="center"/>
    </xf>
    <xf numFmtId="0" fontId="26" fillId="0" borderId="0" xfId="0" applyFont="1" applyAlignment="1">
      <alignment vertical="center"/>
    </xf>
    <xf numFmtId="0" fontId="14" fillId="0" borderId="0" xfId="0" applyFont="1" applyAlignment="1">
      <alignment vertical="center"/>
    </xf>
    <xf numFmtId="0" fontId="26" fillId="0" borderId="27" xfId="0" applyFont="1" applyBorder="1" applyAlignment="1">
      <alignment vertical="center"/>
    </xf>
    <xf numFmtId="41" fontId="16" fillId="0" borderId="30" xfId="0" applyNumberFormat="1" applyFont="1" applyBorder="1" applyAlignment="1">
      <alignment horizontal="center" vertical="center"/>
    </xf>
    <xf numFmtId="49" fontId="18" fillId="0" borderId="27" xfId="0" applyNumberFormat="1" applyFont="1" applyBorder="1" applyAlignment="1">
      <alignment vertical="center"/>
    </xf>
    <xf numFmtId="49" fontId="14" fillId="0" borderId="0" xfId="0" applyNumberFormat="1" applyFont="1" applyAlignment="1">
      <alignment wrapText="1"/>
    </xf>
    <xf numFmtId="165" fontId="28" fillId="0" borderId="27" xfId="0" applyNumberFormat="1" applyFont="1" applyBorder="1" applyAlignment="1">
      <alignment horizontal="center" vertical="center" wrapText="1"/>
    </xf>
    <xf numFmtId="10" fontId="14" fillId="0" borderId="0" xfId="0" applyNumberFormat="1" applyFont="1" applyAlignment="1">
      <alignment vertical="center"/>
    </xf>
    <xf numFmtId="0" fontId="26" fillId="0" borderId="30" xfId="0" applyFont="1" applyBorder="1" applyAlignment="1">
      <alignment horizontal="center" vertical="center"/>
    </xf>
    <xf numFmtId="164" fontId="10" fillId="0" borderId="0" xfId="0" applyNumberFormat="1" applyFont="1" applyAlignment="1">
      <alignment horizontal="center" vertical="center"/>
    </xf>
    <xf numFmtId="164" fontId="10" fillId="0" borderId="27" xfId="0" applyNumberFormat="1" applyFont="1" applyBorder="1" applyAlignment="1">
      <alignment horizontal="center" vertical="center"/>
    </xf>
    <xf numFmtId="0" fontId="26" fillId="0" borderId="30" xfId="0" applyFont="1" applyBorder="1" applyAlignment="1">
      <alignment horizontal="right" vertical="center"/>
    </xf>
    <xf numFmtId="0" fontId="0" fillId="9" borderId="34" xfId="0" applyFill="1" applyBorder="1" applyAlignment="1">
      <alignment horizontal="center"/>
    </xf>
    <xf numFmtId="38" fontId="0" fillId="9" borderId="39" xfId="0" applyNumberFormat="1" applyFill="1" applyBorder="1" applyAlignment="1">
      <alignment horizontal="center"/>
    </xf>
    <xf numFmtId="38" fontId="0" fillId="9" borderId="37" xfId="0" applyNumberFormat="1" applyFill="1" applyBorder="1" applyAlignment="1">
      <alignment horizontal="center"/>
    </xf>
    <xf numFmtId="164" fontId="44" fillId="0" borderId="0" xfId="0" applyNumberFormat="1" applyFont="1" applyAlignment="1">
      <alignment horizontal="center" vertical="center"/>
    </xf>
    <xf numFmtId="6" fontId="22" fillId="9" borderId="0" xfId="0" applyNumberFormat="1" applyFont="1" applyFill="1"/>
    <xf numFmtId="6" fontId="21" fillId="9" borderId="19" xfId="0" applyNumberFormat="1" applyFont="1" applyFill="1" applyBorder="1" applyAlignment="1">
      <alignment horizontal="center"/>
    </xf>
    <xf numFmtId="6" fontId="21" fillId="0" borderId="0" xfId="1" applyNumberFormat="1" applyFont="1" applyFill="1" applyBorder="1" applyAlignment="1">
      <alignment horizontal="right"/>
    </xf>
    <xf numFmtId="6" fontId="21" fillId="12" borderId="38" xfId="1" applyNumberFormat="1" applyFont="1" applyFill="1" applyBorder="1" applyAlignment="1">
      <alignment horizontal="right"/>
    </xf>
    <xf numFmtId="38" fontId="21" fillId="12" borderId="38" xfId="1" applyNumberFormat="1" applyFont="1" applyFill="1" applyBorder="1" applyAlignment="1">
      <alignment horizontal="right"/>
    </xf>
    <xf numFmtId="42" fontId="6" fillId="2" borderId="44" xfId="0" applyNumberFormat="1" applyFont="1" applyFill="1" applyBorder="1"/>
    <xf numFmtId="40" fontId="46" fillId="0" borderId="0" xfId="0" applyNumberFormat="1" applyFont="1" applyAlignment="1">
      <alignment horizontal="center" vertical="center"/>
    </xf>
    <xf numFmtId="164" fontId="45" fillId="0" borderId="0" xfId="0" applyNumberFormat="1" applyFont="1" applyAlignment="1">
      <alignment horizontal="center" vertical="center"/>
    </xf>
    <xf numFmtId="166" fontId="37" fillId="0" borderId="0" xfId="0" applyNumberFormat="1" applyFont="1" applyAlignment="1">
      <alignment horizontal="right" wrapText="1"/>
    </xf>
    <xf numFmtId="0" fontId="37" fillId="0" borderId="0" xfId="0" applyFont="1" applyAlignment="1">
      <alignment horizontal="right" wrapText="1"/>
    </xf>
    <xf numFmtId="41" fontId="37" fillId="0" borderId="0" xfId="0" applyNumberFormat="1" applyFont="1" applyAlignment="1">
      <alignment horizontal="center" wrapText="1"/>
    </xf>
    <xf numFmtId="0" fontId="36" fillId="0" borderId="0" xfId="0" applyFont="1" applyAlignment="1">
      <alignment horizontal="left" vertical="center" wrapText="1"/>
    </xf>
    <xf numFmtId="0" fontId="40" fillId="0" borderId="0" xfId="0" quotePrefix="1" applyFont="1" applyAlignment="1">
      <alignment horizontal="center" vertical="center" wrapText="1"/>
    </xf>
    <xf numFmtId="42" fontId="37" fillId="0" borderId="31" xfId="0" applyNumberFormat="1" applyFont="1" applyBorder="1" applyAlignment="1">
      <alignment horizontal="center" vertical="center" wrapText="1"/>
    </xf>
    <xf numFmtId="166" fontId="37" fillId="0" borderId="0" xfId="0" applyNumberFormat="1" applyFont="1" applyAlignment="1">
      <alignment horizontal="center" wrapText="1"/>
    </xf>
    <xf numFmtId="6" fontId="37" fillId="0" borderId="31" xfId="0" applyNumberFormat="1" applyFont="1" applyBorder="1" applyAlignment="1">
      <alignment horizontal="right" wrapText="1"/>
    </xf>
    <xf numFmtId="42" fontId="37" fillId="0" borderId="31" xfId="0" applyNumberFormat="1" applyFont="1" applyBorder="1" applyAlignment="1">
      <alignment horizontal="left" vertical="center" wrapText="1"/>
    </xf>
    <xf numFmtId="0" fontId="43" fillId="0" borderId="0" xfId="0" applyFont="1" applyAlignment="1">
      <alignment horizontal="center" wrapText="1"/>
    </xf>
    <xf numFmtId="0" fontId="36" fillId="0" borderId="0" xfId="0" applyFont="1" applyAlignment="1">
      <alignment horizontal="center" vertical="center" wrapText="1"/>
    </xf>
    <xf numFmtId="0" fontId="37" fillId="0" borderId="0" xfId="0" applyFont="1" applyAlignment="1">
      <alignment horizontal="left" vertical="center" wrapText="1"/>
    </xf>
    <xf numFmtId="41" fontId="37" fillId="0" borderId="0" xfId="0" applyNumberFormat="1" applyFont="1" applyAlignment="1">
      <alignment horizontal="center" vertical="center" wrapText="1"/>
    </xf>
    <xf numFmtId="0" fontId="40" fillId="0" borderId="0" xfId="0" applyFont="1" applyAlignment="1">
      <alignment horizontal="center" vertical="center" wrapText="1"/>
    </xf>
    <xf numFmtId="38" fontId="22" fillId="9" borderId="9" xfId="1" applyNumberFormat="1" applyFont="1" applyFill="1" applyBorder="1" applyAlignment="1">
      <alignment horizontal="right"/>
    </xf>
    <xf numFmtId="38" fontId="22" fillId="11" borderId="9" xfId="1" applyNumberFormat="1" applyFont="1" applyFill="1" applyBorder="1" applyAlignment="1">
      <alignment horizontal="right"/>
    </xf>
    <xf numFmtId="38" fontId="22" fillId="11" borderId="10" xfId="1" applyNumberFormat="1" applyFont="1" applyFill="1" applyBorder="1" applyAlignment="1">
      <alignment horizontal="right"/>
    </xf>
    <xf numFmtId="49" fontId="21" fillId="12" borderId="33" xfId="0" applyNumberFormat="1" applyFont="1" applyFill="1" applyBorder="1" applyAlignment="1">
      <alignment vertical="center"/>
    </xf>
    <xf numFmtId="49" fontId="21" fillId="12" borderId="32" xfId="0" applyNumberFormat="1" applyFont="1" applyFill="1" applyBorder="1" applyAlignment="1">
      <alignment vertical="center"/>
    </xf>
    <xf numFmtId="49" fontId="21" fillId="13" borderId="33" xfId="0" applyNumberFormat="1" applyFont="1" applyFill="1" applyBorder="1"/>
    <xf numFmtId="6" fontId="21" fillId="13" borderId="38" xfId="1" applyNumberFormat="1" applyFont="1" applyFill="1" applyBorder="1" applyAlignment="1">
      <alignment horizontal="right"/>
    </xf>
    <xf numFmtId="38" fontId="21" fillId="13" borderId="38" xfId="1" applyNumberFormat="1" applyFont="1" applyFill="1" applyBorder="1" applyAlignment="1">
      <alignment horizontal="right"/>
    </xf>
    <xf numFmtId="49" fontId="21" fillId="13" borderId="32" xfId="0" applyNumberFormat="1" applyFont="1" applyFill="1" applyBorder="1" applyAlignment="1">
      <alignment vertical="center"/>
    </xf>
    <xf numFmtId="164" fontId="45" fillId="0" borderId="27" xfId="0" applyNumberFormat="1" applyFont="1" applyBorder="1" applyAlignment="1">
      <alignment horizontal="center" vertical="center"/>
    </xf>
    <xf numFmtId="42" fontId="26" fillId="0" borderId="31" xfId="0" applyNumberFormat="1" applyFont="1" applyBorder="1" applyAlignment="1">
      <alignment vertical="center"/>
    </xf>
    <xf numFmtId="41" fontId="18" fillId="0" borderId="19" xfId="0" applyNumberFormat="1" applyFont="1" applyBorder="1" applyAlignment="1">
      <alignment vertical="center"/>
    </xf>
    <xf numFmtId="42" fontId="18" fillId="0" borderId="27" xfId="0" applyNumberFormat="1" applyFont="1" applyBorder="1" applyAlignment="1">
      <alignment vertical="center"/>
    </xf>
    <xf numFmtId="42" fontId="18" fillId="0" borderId="31" xfId="0" applyNumberFormat="1" applyFont="1" applyBorder="1" applyAlignment="1">
      <alignment vertical="center"/>
    </xf>
    <xf numFmtId="0" fontId="40" fillId="0" borderId="0" xfId="0" applyFont="1" applyAlignment="1">
      <alignment horizontal="right" vertical="center" wrapText="1"/>
    </xf>
    <xf numFmtId="42" fontId="37" fillId="0" borderId="0" xfId="0" applyNumberFormat="1" applyFont="1" applyAlignment="1">
      <alignment horizontal="center" vertical="center" wrapText="1"/>
    </xf>
    <xf numFmtId="17" fontId="0" fillId="0" borderId="0" xfId="0" applyNumberFormat="1"/>
    <xf numFmtId="0" fontId="36" fillId="0" borderId="0" xfId="0" applyFont="1" applyAlignment="1">
      <alignment horizontal="left" vertical="top" wrapText="1"/>
    </xf>
    <xf numFmtId="0" fontId="24" fillId="0" borderId="11" xfId="0" applyFont="1" applyBorder="1" applyAlignment="1">
      <alignment horizontal="center"/>
    </xf>
    <xf numFmtId="17" fontId="0" fillId="0" borderId="11" xfId="0" applyNumberFormat="1" applyBorder="1" applyAlignment="1">
      <alignment horizontal="center" vertical="center" wrapText="1"/>
    </xf>
    <xf numFmtId="42" fontId="0" fillId="0" borderId="11" xfId="0" applyNumberFormat="1" applyBorder="1" applyAlignment="1">
      <alignment horizontal="center" vertical="center" wrapText="1"/>
    </xf>
    <xf numFmtId="0" fontId="50" fillId="0" borderId="0" xfId="0" applyFont="1" applyAlignment="1">
      <alignment horizontal="left" vertical="top" wrapText="1"/>
    </xf>
    <xf numFmtId="0" fontId="0" fillId="0" borderId="0" xfId="0" applyAlignment="1">
      <alignment horizontal="right" vertical="top" wrapText="1"/>
    </xf>
    <xf numFmtId="0" fontId="0" fillId="0" borderId="11" xfId="0" applyBorder="1" applyAlignment="1">
      <alignment horizontal="center" vertical="center" wrapText="1"/>
    </xf>
    <xf numFmtId="41" fontId="37" fillId="0" borderId="0" xfId="0" applyNumberFormat="1" applyFont="1" applyAlignment="1">
      <alignment horizontal="right" vertical="center" wrapText="1"/>
    </xf>
    <xf numFmtId="42" fontId="9" fillId="2" borderId="44" xfId="0" applyNumberFormat="1" applyFont="1" applyFill="1" applyBorder="1"/>
    <xf numFmtId="38" fontId="11" fillId="0" borderId="62" xfId="0" applyNumberFormat="1" applyFont="1" applyBorder="1" applyAlignment="1">
      <alignment horizontal="center"/>
    </xf>
    <xf numFmtId="38" fontId="11" fillId="0" borderId="0" xfId="0" applyNumberFormat="1" applyFont="1"/>
    <xf numFmtId="38" fontId="52" fillId="0" borderId="0" xfId="0" applyNumberFormat="1" applyFont="1"/>
    <xf numFmtId="38" fontId="51" fillId="0" borderId="0" xfId="0" applyNumberFormat="1" applyFont="1"/>
    <xf numFmtId="167" fontId="53" fillId="0" borderId="0" xfId="0" applyNumberFormat="1" applyFont="1"/>
    <xf numFmtId="0" fontId="37" fillId="0" borderId="0" xfId="0" applyFont="1" applyAlignment="1">
      <alignment horizontal="center" vertical="center" wrapText="1"/>
    </xf>
    <xf numFmtId="164" fontId="45" fillId="0" borderId="31" xfId="0" applyNumberFormat="1" applyFont="1" applyBorder="1" applyAlignment="1">
      <alignment horizontal="center" vertical="center"/>
    </xf>
    <xf numFmtId="41" fontId="55" fillId="0" borderId="0" xfId="0" applyNumberFormat="1" applyFont="1" applyAlignment="1">
      <alignment vertical="center"/>
    </xf>
    <xf numFmtId="41" fontId="54" fillId="0" borderId="27" xfId="0" applyNumberFormat="1" applyFont="1" applyBorder="1" applyAlignment="1">
      <alignment vertical="center"/>
    </xf>
    <xf numFmtId="164" fontId="45" fillId="0" borderId="2" xfId="0" applyNumberFormat="1" applyFont="1" applyBorder="1" applyAlignment="1">
      <alignment horizontal="center" vertical="center"/>
    </xf>
    <xf numFmtId="41" fontId="55" fillId="0" borderId="2" xfId="0" applyNumberFormat="1" applyFont="1" applyBorder="1" applyAlignment="1">
      <alignment vertical="center"/>
    </xf>
    <xf numFmtId="0" fontId="55" fillId="0" borderId="0" xfId="0" applyFont="1" applyAlignment="1">
      <alignment vertical="center"/>
    </xf>
    <xf numFmtId="0" fontId="55" fillId="0" borderId="27" xfId="0" applyFont="1" applyBorder="1" applyAlignment="1">
      <alignment vertical="center"/>
    </xf>
    <xf numFmtId="38" fontId="22" fillId="9" borderId="1" xfId="1" applyNumberFormat="1" applyFont="1" applyFill="1" applyBorder="1" applyAlignment="1">
      <alignment horizontal="right"/>
    </xf>
    <xf numFmtId="167" fontId="56" fillId="0" borderId="0" xfId="0" applyNumberFormat="1" applyFont="1"/>
    <xf numFmtId="3" fontId="52" fillId="0" borderId="0" xfId="0" applyNumberFormat="1" applyFont="1"/>
    <xf numFmtId="167" fontId="11" fillId="0" borderId="62" xfId="0" applyNumberFormat="1" applyFont="1" applyBorder="1" applyAlignment="1">
      <alignment horizontal="center"/>
    </xf>
    <xf numFmtId="167" fontId="11" fillId="0" borderId="0" xfId="0" applyNumberFormat="1" applyFont="1"/>
    <xf numFmtId="167" fontId="52" fillId="0" borderId="0" xfId="0" applyNumberFormat="1" applyFont="1"/>
    <xf numFmtId="167" fontId="0" fillId="0" borderId="0" xfId="0" applyNumberFormat="1"/>
    <xf numFmtId="38" fontId="0" fillId="0" borderId="11" xfId="0" applyNumberFormat="1" applyBorder="1"/>
    <xf numFmtId="0" fontId="57" fillId="0" borderId="0" xfId="0" applyFont="1" applyAlignment="1">
      <alignment horizontal="center"/>
    </xf>
    <xf numFmtId="0" fontId="58" fillId="0" borderId="0" xfId="0" applyFont="1"/>
    <xf numFmtId="0" fontId="8" fillId="0" borderId="0" xfId="0" applyFont="1" applyAlignment="1">
      <alignment horizontal="center" vertical="center"/>
    </xf>
    <xf numFmtId="0" fontId="8" fillId="0" borderId="0" xfId="0" applyFont="1" applyAlignment="1">
      <alignment vertical="center"/>
    </xf>
    <xf numFmtId="41" fontId="8" fillId="0" borderId="0" xfId="0" applyNumberFormat="1" applyFont="1" applyAlignment="1">
      <alignment vertical="center"/>
    </xf>
    <xf numFmtId="43" fontId="8" fillId="0" borderId="0" xfId="0" applyNumberFormat="1" applyFont="1" applyAlignment="1">
      <alignment vertical="center"/>
    </xf>
    <xf numFmtId="17" fontId="0" fillId="0" borderId="0" xfId="0" applyNumberFormat="1" applyAlignment="1">
      <alignment horizontal="center" vertical="center" wrapText="1"/>
    </xf>
    <xf numFmtId="0" fontId="0" fillId="0" borderId="0" xfId="0" applyAlignment="1">
      <alignment horizontal="center" vertical="center" wrapText="1"/>
    </xf>
    <xf numFmtId="44" fontId="0" fillId="0" borderId="0" xfId="1" applyFont="1" applyFill="1" applyBorder="1" applyAlignment="1">
      <alignment horizontal="center" vertical="center" wrapText="1"/>
    </xf>
    <xf numFmtId="17" fontId="6" fillId="0" borderId="11" xfId="0" applyNumberFormat="1" applyFont="1" applyBorder="1" applyAlignment="1">
      <alignment horizontal="center" vertical="center" wrapText="1"/>
    </xf>
    <xf numFmtId="0" fontId="6" fillId="0" borderId="11" xfId="0" applyFont="1" applyBorder="1" applyAlignment="1">
      <alignment horizontal="center" vertical="center" wrapText="1"/>
    </xf>
    <xf numFmtId="44" fontId="6" fillId="0" borderId="11" xfId="1" applyFont="1" applyFill="1" applyBorder="1" applyAlignment="1">
      <alignment horizontal="center" vertical="center" wrapText="1"/>
    </xf>
    <xf numFmtId="41" fontId="6" fillId="0" borderId="11" xfId="0" applyNumberFormat="1" applyFont="1" applyBorder="1" applyAlignment="1">
      <alignment horizontal="center" vertical="center" wrapText="1"/>
    </xf>
    <xf numFmtId="44" fontId="59" fillId="0" borderId="11" xfId="1" applyFont="1" applyFill="1" applyBorder="1" applyAlignment="1">
      <alignment horizontal="center" vertical="center" wrapText="1"/>
    </xf>
    <xf numFmtId="42" fontId="37" fillId="0" borderId="0" xfId="0" applyNumberFormat="1" applyFont="1" applyAlignment="1">
      <alignment horizontal="left" vertical="center" wrapText="1"/>
    </xf>
    <xf numFmtId="0" fontId="60" fillId="0" borderId="0" xfId="0" applyFont="1" applyAlignment="1">
      <alignment horizontal="left"/>
    </xf>
    <xf numFmtId="0" fontId="57" fillId="0" borderId="0" xfId="0" applyFont="1"/>
    <xf numFmtId="38" fontId="10" fillId="0" borderId="0" xfId="0" applyNumberFormat="1" applyFont="1" applyAlignment="1">
      <alignment horizontal="right"/>
    </xf>
    <xf numFmtId="3" fontId="52" fillId="2" borderId="0" xfId="0" applyNumberFormat="1" applyFont="1" applyFill="1"/>
    <xf numFmtId="38" fontId="51" fillId="2" borderId="0" xfId="0" applyNumberFormat="1" applyFont="1" applyFill="1"/>
    <xf numFmtId="0" fontId="34" fillId="0" borderId="45" xfId="0" applyFont="1" applyBorder="1" applyAlignment="1">
      <alignment horizontal="center"/>
    </xf>
    <xf numFmtId="38" fontId="34" fillId="0" borderId="45" xfId="0" applyNumberFormat="1" applyFont="1" applyBorder="1" applyAlignment="1">
      <alignment horizontal="center" vertical="center"/>
    </xf>
    <xf numFmtId="0" fontId="34" fillId="0" borderId="46" xfId="0" applyFont="1" applyBorder="1" applyAlignment="1">
      <alignment horizontal="center"/>
    </xf>
    <xf numFmtId="38" fontId="34" fillId="0" borderId="46" xfId="0" applyNumberFormat="1" applyFont="1" applyBorder="1" applyAlignment="1">
      <alignment horizontal="center" vertical="center"/>
    </xf>
    <xf numFmtId="0" fontId="63" fillId="0" borderId="46" xfId="0" applyFont="1" applyBorder="1" applyAlignment="1">
      <alignment horizontal="center"/>
    </xf>
    <xf numFmtId="14" fontId="0" fillId="0" borderId="47" xfId="0" applyNumberFormat="1" applyBorder="1" applyAlignment="1">
      <alignment horizontal="center"/>
    </xf>
    <xf numFmtId="38" fontId="0" fillId="0" borderId="48" xfId="0" applyNumberFormat="1" applyBorder="1" applyAlignment="1">
      <alignment horizontal="center"/>
    </xf>
    <xf numFmtId="38" fontId="0" fillId="0" borderId="47" xfId="0" applyNumberFormat="1" applyBorder="1" applyAlignment="1">
      <alignment horizontal="center"/>
    </xf>
    <xf numFmtId="14" fontId="0" fillId="0" borderId="61" xfId="0" applyNumberFormat="1" applyBorder="1" applyAlignment="1">
      <alignment horizontal="center"/>
    </xf>
    <xf numFmtId="38" fontId="0" fillId="0" borderId="61" xfId="0" applyNumberFormat="1" applyBorder="1" applyAlignment="1">
      <alignment horizontal="center"/>
    </xf>
    <xf numFmtId="38" fontId="0" fillId="0" borderId="57" xfId="0" applyNumberFormat="1" applyBorder="1" applyAlignment="1">
      <alignment horizontal="center"/>
    </xf>
    <xf numFmtId="38" fontId="0" fillId="0" borderId="49" xfId="0" applyNumberFormat="1" applyBorder="1" applyAlignment="1">
      <alignment horizontal="center"/>
    </xf>
    <xf numFmtId="0" fontId="34" fillId="0" borderId="44" xfId="0" applyFont="1" applyBorder="1" applyAlignment="1">
      <alignment horizontal="center" vertical="center"/>
    </xf>
    <xf numFmtId="38" fontId="34" fillId="0" borderId="44" xfId="0" applyNumberFormat="1" applyFont="1" applyBorder="1" applyAlignment="1">
      <alignment horizontal="center" vertical="center"/>
    </xf>
    <xf numFmtId="14" fontId="0" fillId="0" borderId="48" xfId="0" applyNumberFormat="1" applyBorder="1" applyAlignment="1">
      <alignment horizontal="center"/>
    </xf>
    <xf numFmtId="14" fontId="0" fillId="0" borderId="63" xfId="0" applyNumberFormat="1" applyBorder="1" applyAlignment="1">
      <alignment horizontal="center"/>
    </xf>
    <xf numFmtId="38" fontId="0" fillId="0" borderId="63" xfId="0" applyNumberFormat="1" applyBorder="1" applyAlignment="1">
      <alignment horizontal="center"/>
    </xf>
    <xf numFmtId="38" fontId="0" fillId="0" borderId="46" xfId="0" applyNumberFormat="1" applyBorder="1" applyAlignment="1">
      <alignment horizontal="center"/>
    </xf>
    <xf numFmtId="0" fontId="34" fillId="0" borderId="0" xfId="0" applyFont="1" applyAlignment="1">
      <alignment horizontal="center"/>
    </xf>
    <xf numFmtId="38" fontId="34" fillId="0" borderId="28" xfId="0" applyNumberFormat="1" applyFont="1" applyBorder="1" applyAlignment="1">
      <alignment horizontal="center"/>
    </xf>
    <xf numFmtId="38" fontId="0" fillId="0" borderId="64" xfId="0" applyNumberFormat="1" applyBorder="1" applyAlignment="1">
      <alignment horizontal="center" vertical="center"/>
    </xf>
    <xf numFmtId="38" fontId="0" fillId="0" borderId="8" xfId="0" applyNumberFormat="1" applyBorder="1" applyAlignment="1">
      <alignment horizontal="center" vertical="center"/>
    </xf>
    <xf numFmtId="38" fontId="0" fillId="0" borderId="8" xfId="0" applyNumberFormat="1" applyBorder="1" applyAlignment="1">
      <alignment horizontal="center"/>
    </xf>
    <xf numFmtId="38" fontId="0" fillId="0" borderId="1" xfId="0" applyNumberFormat="1" applyBorder="1" applyAlignment="1">
      <alignment horizontal="center" vertical="center"/>
    </xf>
    <xf numFmtId="38" fontId="0" fillId="0" borderId="9" xfId="0" applyNumberFormat="1" applyBorder="1" applyAlignment="1">
      <alignment horizontal="center" vertical="center"/>
    </xf>
    <xf numFmtId="38" fontId="0" fillId="0" borderId="9" xfId="0" applyNumberFormat="1" applyBorder="1" applyAlignment="1">
      <alignment horizontal="center"/>
    </xf>
    <xf numFmtId="38" fontId="0" fillId="0" borderId="4" xfId="0" applyNumberFormat="1" applyBorder="1" applyAlignment="1">
      <alignment horizontal="center" vertical="center"/>
    </xf>
    <xf numFmtId="38" fontId="0" fillId="0" borderId="10" xfId="0" applyNumberFormat="1" applyBorder="1" applyAlignment="1">
      <alignment horizontal="center" vertical="center"/>
    </xf>
    <xf numFmtId="38" fontId="0" fillId="0" borderId="65" xfId="0" applyNumberFormat="1" applyBorder="1" applyAlignment="1">
      <alignment horizontal="center" vertical="center"/>
    </xf>
    <xf numFmtId="38" fontId="0" fillId="0" borderId="10" xfId="0" applyNumberFormat="1" applyBorder="1" applyAlignment="1">
      <alignment horizontal="center"/>
    </xf>
    <xf numFmtId="0" fontId="64" fillId="0" borderId="0" xfId="0" applyFont="1"/>
    <xf numFmtId="168" fontId="0" fillId="0" borderId="11" xfId="1" applyNumberFormat="1" applyFont="1" applyBorder="1"/>
    <xf numFmtId="38" fontId="24" fillId="0" borderId="11" xfId="0" applyNumberFormat="1" applyFont="1" applyBorder="1"/>
    <xf numFmtId="168" fontId="24" fillId="0" borderId="11" xfId="1" applyNumberFormat="1" applyFont="1" applyBorder="1"/>
    <xf numFmtId="168" fontId="24" fillId="0" borderId="11" xfId="0" applyNumberFormat="1" applyFont="1" applyBorder="1"/>
    <xf numFmtId="43" fontId="18" fillId="0" borderId="0" xfId="0" applyNumberFormat="1" applyFont="1" applyAlignment="1">
      <alignment vertical="center"/>
    </xf>
    <xf numFmtId="42" fontId="0" fillId="0" borderId="11" xfId="0" applyNumberFormat="1" applyBorder="1"/>
    <xf numFmtId="44" fontId="51" fillId="0" borderId="11" xfId="1" applyFont="1" applyFill="1" applyBorder="1" applyAlignment="1">
      <alignment horizontal="center" vertical="center" wrapText="1"/>
    </xf>
    <xf numFmtId="41" fontId="0" fillId="0" borderId="11" xfId="1" applyNumberFormat="1" applyFont="1" applyBorder="1"/>
    <xf numFmtId="0" fontId="8" fillId="0" borderId="30" xfId="0" applyFont="1" applyBorder="1" applyAlignment="1">
      <alignment vertical="center"/>
    </xf>
    <xf numFmtId="7" fontId="18" fillId="0" borderId="19" xfId="0" applyNumberFormat="1" applyFont="1" applyBorder="1" applyAlignment="1">
      <alignment vertical="center"/>
    </xf>
    <xf numFmtId="7" fontId="18" fillId="0" borderId="0" xfId="0" applyNumberFormat="1" applyFont="1" applyAlignment="1">
      <alignment vertical="center"/>
    </xf>
    <xf numFmtId="38" fontId="0" fillId="0" borderId="31" xfId="0" applyNumberFormat="1" applyBorder="1" applyAlignment="1">
      <alignment horizontal="right"/>
    </xf>
    <xf numFmtId="0" fontId="24" fillId="0" borderId="11" xfId="0" applyFont="1" applyBorder="1" applyAlignment="1">
      <alignment horizontal="center" vertical="center"/>
    </xf>
    <xf numFmtId="40" fontId="24" fillId="0" borderId="11" xfId="0" applyNumberFormat="1" applyFont="1" applyBorder="1" applyAlignment="1">
      <alignment horizontal="center" vertical="center" wrapText="1"/>
    </xf>
    <xf numFmtId="0" fontId="24" fillId="0" borderId="11" xfId="0" applyFont="1" applyBorder="1" applyAlignment="1">
      <alignment horizontal="center" vertical="center" wrapText="1"/>
    </xf>
    <xf numFmtId="49" fontId="57" fillId="0" borderId="0" xfId="0" applyNumberFormat="1" applyFont="1" applyAlignment="1">
      <alignment horizontal="center"/>
    </xf>
    <xf numFmtId="3" fontId="8" fillId="0" borderId="0" xfId="0" applyNumberFormat="1" applyFont="1"/>
    <xf numFmtId="3" fontId="0" fillId="0" borderId="0" xfId="0" applyNumberFormat="1" applyAlignment="1">
      <alignment horizontal="right"/>
    </xf>
    <xf numFmtId="3" fontId="20" fillId="0" borderId="0" xfId="0" applyNumberFormat="1" applyFont="1" applyAlignment="1">
      <alignment horizontal="center"/>
    </xf>
    <xf numFmtId="3" fontId="22" fillId="6" borderId="36" xfId="0" applyNumberFormat="1" applyFont="1" applyFill="1" applyBorder="1" applyAlignment="1">
      <alignment horizontal="right"/>
    </xf>
    <xf numFmtId="3" fontId="22" fillId="6" borderId="17" xfId="1" applyNumberFormat="1" applyFont="1" applyFill="1" applyBorder="1" applyAlignment="1">
      <alignment horizontal="right"/>
    </xf>
    <xf numFmtId="3" fontId="21" fillId="0" borderId="0" xfId="1" applyNumberFormat="1" applyFont="1" applyBorder="1" applyAlignment="1">
      <alignment horizontal="right"/>
    </xf>
    <xf numFmtId="3" fontId="22" fillId="7" borderId="36" xfId="1" applyNumberFormat="1" applyFont="1" applyFill="1" applyBorder="1" applyAlignment="1">
      <alignment horizontal="right"/>
    </xf>
    <xf numFmtId="3" fontId="22" fillId="7" borderId="17" xfId="1" applyNumberFormat="1" applyFont="1" applyFill="1" applyBorder="1" applyAlignment="1">
      <alignment horizontal="right"/>
    </xf>
    <xf numFmtId="3" fontId="21" fillId="7" borderId="21" xfId="1" applyNumberFormat="1" applyFont="1" applyFill="1" applyBorder="1" applyAlignment="1">
      <alignment horizontal="right"/>
    </xf>
    <xf numFmtId="3" fontId="21" fillId="0" borderId="0" xfId="1" applyNumberFormat="1" applyFont="1" applyFill="1" applyBorder="1" applyAlignment="1">
      <alignment horizontal="right"/>
    </xf>
    <xf numFmtId="3" fontId="22" fillId="10" borderId="36" xfId="1" applyNumberFormat="1" applyFont="1" applyFill="1" applyBorder="1" applyAlignment="1">
      <alignment horizontal="right"/>
    </xf>
    <xf numFmtId="3" fontId="22" fillId="10" borderId="17" xfId="1" applyNumberFormat="1" applyFont="1" applyFill="1" applyBorder="1" applyAlignment="1">
      <alignment horizontal="right"/>
    </xf>
    <xf numFmtId="3" fontId="21" fillId="10" borderId="21" xfId="1" applyNumberFormat="1" applyFont="1" applyFill="1" applyBorder="1" applyAlignment="1">
      <alignment horizontal="right"/>
    </xf>
    <xf numFmtId="3" fontId="22" fillId="8" borderId="17" xfId="1" applyNumberFormat="1" applyFont="1" applyFill="1" applyBorder="1" applyAlignment="1">
      <alignment horizontal="right"/>
    </xf>
    <xf numFmtId="3" fontId="21" fillId="8" borderId="21" xfId="1" applyNumberFormat="1" applyFont="1" applyFill="1" applyBorder="1" applyAlignment="1">
      <alignment horizontal="right"/>
    </xf>
    <xf numFmtId="3" fontId="21" fillId="8" borderId="36" xfId="1" applyNumberFormat="1" applyFont="1" applyFill="1" applyBorder="1" applyAlignment="1">
      <alignment horizontal="right"/>
    </xf>
    <xf numFmtId="3" fontId="8" fillId="0" borderId="0" xfId="1" applyNumberFormat="1" applyFont="1" applyBorder="1" applyAlignment="1">
      <alignment horizontal="right"/>
    </xf>
    <xf numFmtId="3" fontId="0" fillId="9" borderId="36" xfId="0" applyNumberFormat="1" applyFill="1" applyBorder="1" applyAlignment="1">
      <alignment horizontal="center"/>
    </xf>
    <xf numFmtId="3" fontId="21" fillId="9" borderId="17" xfId="1" applyNumberFormat="1" applyFont="1" applyFill="1" applyBorder="1" applyAlignment="1">
      <alignment horizontal="right"/>
    </xf>
    <xf numFmtId="3" fontId="21" fillId="11" borderId="41" xfId="1" applyNumberFormat="1" applyFont="1" applyFill="1" applyBorder="1" applyAlignment="1">
      <alignment horizontal="right"/>
    </xf>
    <xf numFmtId="3" fontId="21" fillId="11" borderId="29" xfId="1" applyNumberFormat="1" applyFont="1" applyFill="1" applyBorder="1" applyAlignment="1">
      <alignment horizontal="right"/>
    </xf>
    <xf numFmtId="3" fontId="21" fillId="11" borderId="43" xfId="1" applyNumberFormat="1" applyFont="1" applyFill="1" applyBorder="1" applyAlignment="1">
      <alignment horizontal="right"/>
    </xf>
    <xf numFmtId="3" fontId="21" fillId="11" borderId="40" xfId="1" applyNumberFormat="1" applyFont="1" applyFill="1" applyBorder="1" applyAlignment="1">
      <alignment horizontal="right"/>
    </xf>
    <xf numFmtId="3" fontId="21" fillId="13" borderId="42" xfId="1" applyNumberFormat="1" applyFont="1" applyFill="1" applyBorder="1" applyAlignment="1">
      <alignment horizontal="right"/>
    </xf>
    <xf numFmtId="3" fontId="21" fillId="12" borderId="42" xfId="1" applyNumberFormat="1" applyFont="1" applyFill="1" applyBorder="1" applyAlignment="1">
      <alignment horizontal="right"/>
    </xf>
    <xf numFmtId="49" fontId="21" fillId="0" borderId="0" xfId="0" applyNumberFormat="1" applyFont="1" applyAlignment="1">
      <alignment vertical="center"/>
    </xf>
    <xf numFmtId="44" fontId="9" fillId="0" borderId="0" xfId="0" applyNumberFormat="1" applyFont="1"/>
    <xf numFmtId="43" fontId="0" fillId="0" borderId="27" xfId="0" applyNumberFormat="1" applyBorder="1" applyAlignment="1">
      <alignment vertical="center"/>
    </xf>
    <xf numFmtId="6" fontId="37" fillId="0" borderId="0" xfId="0" applyNumberFormat="1" applyFont="1" applyAlignment="1">
      <alignment horizontal="center" wrapText="1"/>
    </xf>
    <xf numFmtId="0" fontId="36" fillId="0" borderId="0" xfId="0" applyFont="1" applyAlignment="1">
      <alignment horizontal="left" wrapText="1"/>
    </xf>
    <xf numFmtId="40" fontId="65" fillId="0" borderId="45" xfId="0" applyNumberFormat="1" applyFont="1" applyBorder="1" applyAlignment="1">
      <alignment horizontal="center"/>
    </xf>
    <xf numFmtId="165" fontId="22" fillId="0" borderId="27" xfId="0" applyNumberFormat="1" applyFont="1" applyBorder="1" applyAlignment="1">
      <alignment horizontal="center"/>
    </xf>
    <xf numFmtId="164" fontId="37" fillId="0" borderId="0" xfId="0" applyNumberFormat="1" applyFont="1" applyAlignment="1">
      <alignment horizontal="center" wrapText="1"/>
    </xf>
    <xf numFmtId="164" fontId="37" fillId="0" borderId="31" xfId="0" applyNumberFormat="1" applyFont="1" applyBorder="1" applyAlignment="1">
      <alignment horizontal="center" wrapText="1"/>
    </xf>
    <xf numFmtId="0" fontId="21" fillId="0" borderId="0" xfId="0" applyFont="1" applyAlignment="1">
      <alignment horizontal="right" vertical="center"/>
    </xf>
    <xf numFmtId="164" fontId="7" fillId="0" borderId="0" xfId="0" applyNumberFormat="1" applyFont="1" applyAlignment="1">
      <alignment horizontal="right" vertical="center"/>
    </xf>
    <xf numFmtId="6" fontId="21" fillId="0" borderId="0" xfId="0" applyNumberFormat="1" applyFont="1"/>
    <xf numFmtId="6" fontId="21" fillId="0" borderId="0" xfId="0" applyNumberFormat="1" applyFont="1" applyAlignment="1">
      <alignment horizontal="center" vertical="center"/>
    </xf>
    <xf numFmtId="6" fontId="7" fillId="0" borderId="0" xfId="1" applyNumberFormat="1" applyFont="1" applyFill="1" applyBorder="1" applyAlignment="1">
      <alignment horizontal="right"/>
    </xf>
    <xf numFmtId="169" fontId="7" fillId="0" borderId="0" xfId="1" applyNumberFormat="1" applyFont="1" applyFill="1" applyBorder="1" applyAlignment="1">
      <alignment horizontal="right"/>
    </xf>
    <xf numFmtId="0" fontId="37" fillId="0" borderId="0" xfId="0" applyFont="1" applyAlignment="1">
      <alignment horizontal="left" wrapText="1"/>
    </xf>
    <xf numFmtId="10" fontId="0" fillId="0" borderId="0" xfId="0" applyNumberFormat="1" applyAlignment="1">
      <alignment horizontal="center"/>
    </xf>
    <xf numFmtId="14" fontId="0" fillId="0" borderId="0" xfId="0" applyNumberFormat="1"/>
    <xf numFmtId="38" fontId="0" fillId="0" borderId="3" xfId="0" applyNumberFormat="1" applyBorder="1"/>
    <xf numFmtId="10" fontId="0" fillId="0" borderId="3" xfId="0" applyNumberFormat="1" applyBorder="1" applyAlignment="1">
      <alignment horizontal="center"/>
    </xf>
    <xf numFmtId="6" fontId="0" fillId="0" borderId="31" xfId="0" applyNumberFormat="1" applyBorder="1"/>
    <xf numFmtId="44" fontId="0" fillId="0" borderId="0" xfId="0" applyNumberFormat="1"/>
    <xf numFmtId="9" fontId="0" fillId="0" borderId="11" xfId="4" applyFont="1" applyBorder="1" applyAlignment="1">
      <alignment horizontal="center"/>
    </xf>
    <xf numFmtId="9" fontId="24" fillId="0" borderId="11" xfId="0" applyNumberFormat="1" applyFont="1" applyBorder="1" applyAlignment="1">
      <alignment horizontal="center"/>
    </xf>
    <xf numFmtId="37" fontId="0" fillId="0" borderId="11" xfId="1" applyNumberFormat="1" applyFont="1" applyBorder="1"/>
    <xf numFmtId="43" fontId="55" fillId="0" borderId="0" xfId="0" applyNumberFormat="1" applyFont="1" applyAlignment="1">
      <alignment vertical="center"/>
    </xf>
    <xf numFmtId="41" fontId="55" fillId="0" borderId="0" xfId="0" applyNumberFormat="1" applyFont="1" applyAlignment="1">
      <alignment horizontal="right" vertical="center"/>
    </xf>
    <xf numFmtId="2" fontId="0" fillId="0" borderId="0" xfId="0" applyNumberFormat="1"/>
    <xf numFmtId="38" fontId="32" fillId="0" borderId="45" xfId="1" applyNumberFormat="1" applyFont="1" applyFill="1" applyBorder="1" applyAlignment="1"/>
    <xf numFmtId="40" fontId="0" fillId="0" borderId="0" xfId="0" applyNumberFormat="1" applyAlignment="1">
      <alignment vertical="center"/>
    </xf>
    <xf numFmtId="4" fontId="0" fillId="0" borderId="0" xfId="0" applyNumberFormat="1" applyAlignment="1">
      <alignment vertical="center"/>
    </xf>
    <xf numFmtId="41" fontId="14" fillId="0" borderId="6" xfId="0" applyNumberFormat="1" applyFont="1" applyBorder="1" applyAlignment="1">
      <alignment vertical="center"/>
    </xf>
    <xf numFmtId="4" fontId="26" fillId="0" borderId="0" xfId="0" applyNumberFormat="1" applyFont="1"/>
    <xf numFmtId="4" fontId="26" fillId="0" borderId="0" xfId="0" applyNumberFormat="1" applyFont="1" applyAlignment="1">
      <alignment horizontal="center" vertical="center"/>
    </xf>
    <xf numFmtId="4" fontId="26" fillId="0" borderId="0" xfId="0" applyNumberFormat="1" applyFont="1" applyAlignment="1">
      <alignment vertical="center"/>
    </xf>
    <xf numFmtId="169" fontId="21" fillId="6" borderId="21" xfId="1" applyNumberFormat="1" applyFont="1" applyFill="1" applyBorder="1" applyAlignment="1">
      <alignment horizontal="right"/>
    </xf>
    <xf numFmtId="41" fontId="0" fillId="0" borderId="45" xfId="1" applyNumberFormat="1" applyFont="1" applyFill="1" applyBorder="1" applyAlignment="1"/>
    <xf numFmtId="0" fontId="24" fillId="0" borderId="11" xfId="0" applyFont="1" applyBorder="1" applyAlignment="1">
      <alignment horizontal="center" vertical="top" wrapText="1"/>
    </xf>
    <xf numFmtId="49" fontId="18" fillId="0" borderId="0" xfId="0" applyNumberFormat="1" applyFont="1" applyAlignment="1">
      <alignment horizontal="left" vertical="center"/>
    </xf>
    <xf numFmtId="167" fontId="2" fillId="0" borderId="0" xfId="0" applyNumberFormat="1" applyFont="1"/>
    <xf numFmtId="165" fontId="22" fillId="0" borderId="27" xfId="0" applyNumberFormat="1" applyFont="1" applyBorder="1" applyAlignment="1">
      <alignment horizontal="center" vertical="center" wrapText="1"/>
    </xf>
    <xf numFmtId="42" fontId="22" fillId="0" borderId="27" xfId="0" applyNumberFormat="1" applyFont="1" applyBorder="1" applyAlignment="1">
      <alignment horizontal="center" vertical="center" wrapText="1"/>
    </xf>
    <xf numFmtId="3" fontId="56" fillId="0" borderId="0" xfId="0" applyNumberFormat="1" applyFont="1"/>
    <xf numFmtId="3" fontId="51" fillId="0" borderId="0" xfId="0" applyNumberFormat="1" applyFont="1"/>
    <xf numFmtId="37" fontId="36" fillId="0" borderId="0" xfId="0" applyNumberFormat="1" applyFont="1" applyAlignment="1">
      <alignment horizontal="center" vertical="center" wrapText="1"/>
    </xf>
    <xf numFmtId="41" fontId="26" fillId="0" borderId="6" xfId="0" applyNumberFormat="1" applyFont="1" applyBorder="1" applyAlignment="1">
      <alignment vertical="center"/>
    </xf>
    <xf numFmtId="164" fontId="45" fillId="0" borderId="6" xfId="0" applyNumberFormat="1" applyFont="1" applyBorder="1" applyAlignment="1">
      <alignment horizontal="center" vertical="center"/>
    </xf>
    <xf numFmtId="38" fontId="26" fillId="0" borderId="0" xfId="0" applyNumberFormat="1" applyFont="1" applyAlignment="1">
      <alignment vertical="center"/>
    </xf>
    <xf numFmtId="38" fontId="18" fillId="0" borderId="2" xfId="0" applyNumberFormat="1" applyFont="1" applyBorder="1" applyAlignment="1">
      <alignment vertical="center"/>
    </xf>
    <xf numFmtId="49" fontId="20" fillId="0" borderId="0" xfId="0" applyNumberFormat="1" applyFont="1" applyAlignment="1">
      <alignment horizontal="left" vertical="center"/>
    </xf>
    <xf numFmtId="41" fontId="55" fillId="0" borderId="6" xfId="0" applyNumberFormat="1" applyFont="1" applyBorder="1" applyAlignment="1">
      <alignment vertical="center"/>
    </xf>
    <xf numFmtId="41" fontId="14" fillId="0" borderId="31" xfId="0" applyNumberFormat="1" applyFont="1" applyBorder="1" applyAlignment="1">
      <alignment vertical="center"/>
    </xf>
    <xf numFmtId="49" fontId="22" fillId="0" borderId="0" xfId="0" applyNumberFormat="1" applyFont="1" applyAlignment="1">
      <alignment vertical="center"/>
    </xf>
    <xf numFmtId="0" fontId="22" fillId="0" borderId="0" xfId="0" applyFont="1"/>
    <xf numFmtId="38" fontId="0" fillId="0" borderId="0" xfId="1" applyNumberFormat="1" applyFont="1" applyFill="1" applyBorder="1" applyAlignment="1"/>
    <xf numFmtId="40" fontId="6" fillId="3" borderId="33" xfId="0" applyNumberFormat="1" applyFont="1" applyFill="1" applyBorder="1" applyAlignment="1">
      <alignment horizontal="center" vertical="center" wrapText="1"/>
    </xf>
    <xf numFmtId="41" fontId="0" fillId="0" borderId="2" xfId="1" applyNumberFormat="1" applyFont="1" applyFill="1" applyBorder="1" applyAlignment="1"/>
    <xf numFmtId="10" fontId="18" fillId="0" borderId="0" xfId="0" applyNumberFormat="1" applyFont="1" applyAlignment="1">
      <alignment vertical="center"/>
    </xf>
    <xf numFmtId="0" fontId="0" fillId="0" borderId="45" xfId="0" applyBorder="1"/>
    <xf numFmtId="14" fontId="0" fillId="0" borderId="45" xfId="0" applyNumberFormat="1" applyBorder="1" applyAlignment="1">
      <alignment horizontal="center"/>
    </xf>
    <xf numFmtId="40" fontId="6" fillId="0" borderId="42" xfId="0" applyNumberFormat="1" applyFont="1" applyBorder="1" applyAlignment="1">
      <alignment horizontal="center"/>
    </xf>
    <xf numFmtId="38" fontId="0" fillId="0" borderId="45" xfId="1" applyNumberFormat="1" applyFont="1" applyFill="1" applyBorder="1" applyAlignment="1"/>
    <xf numFmtId="0" fontId="0" fillId="0" borderId="16" xfId="0" applyBorder="1" applyAlignment="1">
      <alignment horizontal="left"/>
    </xf>
    <xf numFmtId="0" fontId="0" fillId="0" borderId="0" xfId="0" applyAlignment="1">
      <alignment horizontal="left"/>
    </xf>
    <xf numFmtId="0" fontId="0" fillId="0" borderId="29" xfId="0" applyBorder="1" applyAlignment="1">
      <alignment horizontal="left"/>
    </xf>
    <xf numFmtId="170" fontId="0" fillId="0" borderId="0" xfId="1" applyNumberFormat="1" applyFont="1" applyFill="1" applyBorder="1" applyAlignment="1"/>
    <xf numFmtId="10" fontId="0" fillId="0" borderId="0" xfId="1" applyNumberFormat="1" applyFont="1" applyFill="1" applyBorder="1" applyAlignment="1"/>
    <xf numFmtId="42" fontId="6" fillId="3" borderId="67" xfId="0" applyNumberFormat="1" applyFont="1" applyFill="1" applyBorder="1"/>
    <xf numFmtId="42" fontId="0" fillId="0" borderId="0" xfId="0" applyNumberFormat="1" applyAlignment="1">
      <alignment horizontal="left" vertical="top" wrapText="1"/>
    </xf>
    <xf numFmtId="42" fontId="18" fillId="0" borderId="27" xfId="0" applyNumberFormat="1" applyFont="1" applyBorder="1" applyAlignment="1">
      <alignment horizontal="center" vertical="center" wrapText="1"/>
    </xf>
    <xf numFmtId="165" fontId="18" fillId="0" borderId="27" xfId="0" applyNumberFormat="1" applyFont="1" applyBorder="1" applyAlignment="1">
      <alignment horizontal="center" vertical="center" wrapText="1"/>
    </xf>
    <xf numFmtId="49" fontId="14" fillId="0" borderId="0" xfId="0" quotePrefix="1" applyNumberFormat="1" applyFont="1" applyAlignment="1">
      <alignment vertical="center"/>
    </xf>
    <xf numFmtId="49" fontId="67" fillId="14" borderId="34" xfId="0" applyNumberFormat="1" applyFont="1" applyFill="1" applyBorder="1" applyAlignment="1">
      <alignment vertical="center"/>
    </xf>
    <xf numFmtId="49" fontId="67" fillId="14" borderId="28" xfId="0" applyNumberFormat="1" applyFont="1" applyFill="1" applyBorder="1" applyAlignment="1">
      <alignment vertical="center"/>
    </xf>
    <xf numFmtId="6" fontId="67" fillId="14" borderId="8" xfId="1" applyNumberFormat="1" applyFont="1" applyFill="1" applyBorder="1" applyAlignment="1">
      <alignment horizontal="right"/>
    </xf>
    <xf numFmtId="38" fontId="67" fillId="14" borderId="41" xfId="1" applyNumberFormat="1" applyFont="1" applyFill="1" applyBorder="1" applyAlignment="1">
      <alignment horizontal="right"/>
    </xf>
    <xf numFmtId="38" fontId="67" fillId="14" borderId="8" xfId="1" applyNumberFormat="1" applyFont="1" applyFill="1" applyBorder="1" applyAlignment="1">
      <alignment horizontal="right"/>
    </xf>
    <xf numFmtId="10" fontId="26" fillId="0" borderId="0" xfId="0" applyNumberFormat="1" applyFont="1" applyAlignment="1">
      <alignment vertical="center"/>
    </xf>
    <xf numFmtId="0" fontId="6" fillId="3" borderId="33" xfId="0" applyFont="1" applyFill="1" applyBorder="1" applyAlignment="1">
      <alignment horizontal="center" vertical="center"/>
    </xf>
    <xf numFmtId="41" fontId="18" fillId="2" borderId="0" xfId="0" applyNumberFormat="1" applyFont="1" applyFill="1" applyAlignment="1">
      <alignment vertical="center"/>
    </xf>
    <xf numFmtId="49" fontId="14" fillId="0" borderId="33" xfId="0" applyNumberFormat="1" applyFont="1" applyBorder="1" applyAlignment="1">
      <alignment vertical="center"/>
    </xf>
    <xf numFmtId="42" fontId="22" fillId="0" borderId="33" xfId="0" applyNumberFormat="1" applyFont="1" applyBorder="1" applyAlignment="1">
      <alignment horizontal="center" vertical="center" wrapText="1"/>
    </xf>
    <xf numFmtId="49" fontId="22" fillId="0" borderId="0" xfId="0" applyNumberFormat="1" applyFont="1" applyAlignment="1">
      <alignment horizontal="left" vertical="center"/>
    </xf>
    <xf numFmtId="49" fontId="21" fillId="0" borderId="30" xfId="0" applyNumberFormat="1" applyFont="1" applyBorder="1" applyAlignment="1">
      <alignment horizontal="left" vertical="center"/>
    </xf>
    <xf numFmtId="0" fontId="0" fillId="0" borderId="30" xfId="0" applyBorder="1"/>
    <xf numFmtId="41" fontId="14" fillId="0" borderId="30" xfId="0" applyNumberFormat="1" applyFont="1" applyBorder="1" applyAlignment="1">
      <alignment vertical="center"/>
    </xf>
    <xf numFmtId="0" fontId="14" fillId="0" borderId="0" xfId="0" applyFont="1"/>
    <xf numFmtId="0" fontId="5" fillId="0" borderId="0" xfId="0" applyFont="1"/>
    <xf numFmtId="0" fontId="20" fillId="0" borderId="0" xfId="0" applyFont="1"/>
    <xf numFmtId="49" fontId="18" fillId="2" borderId="0" xfId="0" applyNumberFormat="1" applyFont="1" applyFill="1" applyAlignment="1">
      <alignment vertical="center"/>
    </xf>
    <xf numFmtId="49" fontId="14" fillId="2" borderId="0" xfId="0" applyNumberFormat="1" applyFont="1" applyFill="1" applyAlignment="1">
      <alignment vertical="center"/>
    </xf>
    <xf numFmtId="40" fontId="0" fillId="0" borderId="0" xfId="0" applyNumberFormat="1" applyAlignment="1">
      <alignment horizontal="center" vertical="center"/>
    </xf>
    <xf numFmtId="40" fontId="8" fillId="0" borderId="0" xfId="0" applyNumberFormat="1" applyFont="1" applyAlignment="1">
      <alignment horizontal="center" vertical="center"/>
    </xf>
    <xf numFmtId="0" fontId="17" fillId="0" borderId="55" xfId="0" applyFont="1" applyBorder="1" applyAlignment="1">
      <alignment vertical="center"/>
    </xf>
    <xf numFmtId="40" fontId="17" fillId="0" borderId="0" xfId="0" applyNumberFormat="1" applyFont="1" applyAlignment="1">
      <alignment vertical="center"/>
    </xf>
    <xf numFmtId="40" fontId="8" fillId="0" borderId="0" xfId="0" applyNumberFormat="1" applyFont="1" applyAlignment="1">
      <alignment vertical="center"/>
    </xf>
    <xf numFmtId="6" fontId="18" fillId="0" borderId="0" xfId="0" applyNumberFormat="1" applyFont="1" applyAlignment="1">
      <alignment horizontal="right" vertical="center"/>
    </xf>
    <xf numFmtId="171" fontId="18" fillId="0" borderId="19" xfId="0" applyNumberFormat="1" applyFont="1" applyBorder="1" applyAlignment="1">
      <alignment vertical="center"/>
    </xf>
    <xf numFmtId="171" fontId="18" fillId="0" borderId="0" xfId="0" applyNumberFormat="1" applyFont="1" applyAlignment="1">
      <alignment vertical="center"/>
    </xf>
    <xf numFmtId="49" fontId="69" fillId="0" borderId="0" xfId="0" applyNumberFormat="1" applyFont="1" applyAlignment="1">
      <alignment vertical="center"/>
    </xf>
    <xf numFmtId="5" fontId="14" fillId="0" borderId="0" xfId="0" applyNumberFormat="1" applyFont="1" applyAlignment="1">
      <alignment vertical="center"/>
    </xf>
    <xf numFmtId="5" fontId="14" fillId="0" borderId="31" xfId="0" applyNumberFormat="1" applyFont="1" applyBorder="1" applyAlignment="1">
      <alignment vertical="center"/>
    </xf>
    <xf numFmtId="3" fontId="14" fillId="0" borderId="0" xfId="0" applyNumberFormat="1" applyFont="1" applyAlignment="1">
      <alignment vertical="center"/>
    </xf>
    <xf numFmtId="37" fontId="14" fillId="0" borderId="0" xfId="0" applyNumberFormat="1" applyFont="1" applyAlignment="1">
      <alignment vertical="center"/>
    </xf>
    <xf numFmtId="8" fontId="14" fillId="0" borderId="0" xfId="0" applyNumberFormat="1" applyFont="1" applyAlignment="1">
      <alignment vertical="center"/>
    </xf>
    <xf numFmtId="40" fontId="15" fillId="0" borderId="0" xfId="0" applyNumberFormat="1" applyFont="1" applyAlignment="1">
      <alignment vertical="center"/>
    </xf>
    <xf numFmtId="41" fontId="70" fillId="0" borderId="0" xfId="0" applyNumberFormat="1" applyFont="1"/>
    <xf numFmtId="38" fontId="70" fillId="0" borderId="0" xfId="0" applyNumberFormat="1" applyFont="1"/>
    <xf numFmtId="8" fontId="70" fillId="0" borderId="0" xfId="0" applyNumberFormat="1" applyFont="1"/>
    <xf numFmtId="0" fontId="6" fillId="3" borderId="42" xfId="0" applyFont="1" applyFill="1" applyBorder="1" applyAlignment="1">
      <alignment horizontal="center" vertical="center"/>
    </xf>
    <xf numFmtId="0" fontId="14" fillId="0" borderId="0" xfId="0" applyFont="1" applyAlignment="1">
      <alignment horizontal="left" vertical="center"/>
    </xf>
    <xf numFmtId="0" fontId="0" fillId="0" borderId="0" xfId="0" applyAlignment="1">
      <alignment horizontal="left" vertical="center"/>
    </xf>
    <xf numFmtId="0" fontId="0" fillId="0" borderId="16" xfId="0" applyBorder="1"/>
    <xf numFmtId="0" fontId="0" fillId="0" borderId="24" xfId="0" applyBorder="1"/>
    <xf numFmtId="0" fontId="0" fillId="0" borderId="35" xfId="0" applyBorder="1"/>
    <xf numFmtId="0" fontId="0" fillId="0" borderId="48" xfId="0" applyBorder="1" applyAlignment="1">
      <alignment horizontal="left"/>
    </xf>
    <xf numFmtId="14" fontId="0" fillId="0" borderId="29" xfId="0" applyNumberFormat="1" applyBorder="1" applyAlignment="1">
      <alignment horizontal="center"/>
    </xf>
    <xf numFmtId="40" fontId="6" fillId="3" borderId="32" xfId="0" applyNumberFormat="1" applyFont="1" applyFill="1" applyBorder="1" applyAlignment="1">
      <alignment horizontal="center" vertical="center" wrapText="1"/>
    </xf>
    <xf numFmtId="41" fontId="0" fillId="0" borderId="16" xfId="1" applyNumberFormat="1" applyFont="1" applyFill="1" applyBorder="1" applyAlignment="1"/>
    <xf numFmtId="40" fontId="6" fillId="3" borderId="42" xfId="0" applyNumberFormat="1" applyFont="1" applyFill="1" applyBorder="1" applyAlignment="1">
      <alignment horizontal="center" vertical="center" wrapText="1"/>
    </xf>
    <xf numFmtId="3" fontId="51" fillId="0" borderId="11" xfId="1" applyNumberFormat="1" applyFont="1" applyFill="1" applyBorder="1" applyAlignment="1">
      <alignment horizontal="center" vertical="center" wrapText="1"/>
    </xf>
    <xf numFmtId="3" fontId="50" fillId="0" borderId="0" xfId="0" applyNumberFormat="1" applyFont="1" applyAlignment="1">
      <alignment horizontal="left" vertical="top" wrapText="1"/>
    </xf>
    <xf numFmtId="5" fontId="0" fillId="0" borderId="10" xfId="0" applyNumberFormat="1" applyBorder="1" applyAlignment="1">
      <alignment horizontal="right" vertical="top" wrapText="1"/>
    </xf>
    <xf numFmtId="5" fontId="59" fillId="0" borderId="11" xfId="0" applyNumberFormat="1" applyFont="1" applyBorder="1" applyAlignment="1">
      <alignment horizontal="right" vertical="center" wrapText="1"/>
    </xf>
    <xf numFmtId="42" fontId="18" fillId="2" borderId="0" xfId="0" applyNumberFormat="1" applyFont="1" applyFill="1" applyAlignment="1">
      <alignment vertical="center"/>
    </xf>
    <xf numFmtId="0" fontId="71" fillId="0" borderId="0" xfId="0" applyFont="1" applyAlignment="1">
      <alignment horizontal="center" vertical="center"/>
    </xf>
    <xf numFmtId="37" fontId="18" fillId="0" borderId="0" xfId="0" applyNumberFormat="1" applyFont="1" applyAlignment="1">
      <alignment vertical="center"/>
    </xf>
    <xf numFmtId="42" fontId="18" fillId="2" borderId="27" xfId="0" applyNumberFormat="1" applyFont="1" applyFill="1" applyBorder="1" applyAlignment="1">
      <alignment vertical="center"/>
    </xf>
    <xf numFmtId="6" fontId="36" fillId="0" borderId="0" xfId="0" applyNumberFormat="1" applyFont="1" applyAlignment="1">
      <alignment horizontal="left" vertical="top" wrapText="1"/>
    </xf>
    <xf numFmtId="49" fontId="18" fillId="0" borderId="0" xfId="0" applyNumberFormat="1" applyFont="1"/>
    <xf numFmtId="169" fontId="28" fillId="0" borderId="0" xfId="0" applyNumberFormat="1" applyFont="1" applyAlignment="1">
      <alignment horizontal="right"/>
    </xf>
    <xf numFmtId="3" fontId="28" fillId="0" borderId="0" xfId="0" applyNumberFormat="1" applyFont="1" applyAlignment="1">
      <alignment horizontal="right"/>
    </xf>
    <xf numFmtId="3" fontId="18" fillId="0" borderId="0" xfId="0" applyNumberFormat="1" applyFont="1" applyAlignment="1">
      <alignment horizontal="right" vertical="center"/>
    </xf>
    <xf numFmtId="3" fontId="18" fillId="0" borderId="19" xfId="0" applyNumberFormat="1" applyFont="1" applyBorder="1" applyAlignment="1">
      <alignment vertical="center"/>
    </xf>
    <xf numFmtId="3" fontId="18" fillId="0" borderId="0" xfId="0" applyNumberFormat="1" applyFont="1" applyAlignment="1">
      <alignment vertical="center"/>
    </xf>
    <xf numFmtId="3" fontId="18" fillId="0" borderId="27" xfId="0" applyNumberFormat="1" applyFont="1" applyBorder="1" applyAlignment="1">
      <alignment vertical="center"/>
    </xf>
    <xf numFmtId="3" fontId="14" fillId="0" borderId="3" xfId="0" applyNumberFormat="1" applyFont="1" applyBorder="1" applyAlignment="1">
      <alignment vertical="center"/>
    </xf>
    <xf numFmtId="49" fontId="14" fillId="0" borderId="6" xfId="0" applyNumberFormat="1" applyFont="1" applyBorder="1" applyAlignment="1">
      <alignment vertical="center"/>
    </xf>
    <xf numFmtId="42" fontId="9" fillId="3" borderId="51" xfId="1" applyNumberFormat="1" applyFont="1" applyFill="1" applyBorder="1" applyAlignment="1"/>
    <xf numFmtId="41" fontId="0" fillId="0" borderId="48" xfId="1" applyNumberFormat="1" applyFont="1" applyFill="1" applyBorder="1" applyAlignment="1">
      <alignment horizontal="center"/>
    </xf>
    <xf numFmtId="41" fontId="0" fillId="0" borderId="0" xfId="1" applyNumberFormat="1" applyFont="1" applyFill="1" applyBorder="1" applyAlignment="1">
      <alignment horizontal="center"/>
    </xf>
    <xf numFmtId="0" fontId="0" fillId="0" borderId="48" xfId="0" applyBorder="1" applyAlignment="1">
      <alignment horizontal="center"/>
    </xf>
    <xf numFmtId="0" fontId="0" fillId="0" borderId="46" xfId="0" applyBorder="1" applyAlignment="1">
      <alignment horizontal="center"/>
    </xf>
    <xf numFmtId="38" fontId="32" fillId="0" borderId="2" xfId="1" applyNumberFormat="1" applyFont="1" applyFill="1" applyBorder="1" applyAlignment="1"/>
    <xf numFmtId="38" fontId="32" fillId="0" borderId="2" xfId="1" applyNumberFormat="1" applyFont="1" applyFill="1" applyBorder="1" applyAlignment="1">
      <alignment horizontal="right"/>
    </xf>
    <xf numFmtId="38" fontId="0" fillId="0" borderId="2" xfId="1" applyNumberFormat="1" applyFont="1" applyFill="1" applyBorder="1" applyAlignment="1"/>
    <xf numFmtId="41" fontId="0" fillId="0" borderId="27" xfId="1" applyNumberFormat="1" applyFont="1" applyFill="1" applyBorder="1" applyAlignment="1">
      <alignment horizontal="center"/>
    </xf>
    <xf numFmtId="38" fontId="0" fillId="0" borderId="27" xfId="1" applyNumberFormat="1" applyFont="1" applyFill="1" applyBorder="1" applyAlignment="1"/>
    <xf numFmtId="49" fontId="67" fillId="14" borderId="16" xfId="0" applyNumberFormat="1" applyFont="1" applyFill="1" applyBorder="1" applyAlignment="1">
      <alignment vertical="center"/>
    </xf>
    <xf numFmtId="49" fontId="67" fillId="14" borderId="0" xfId="0" applyNumberFormat="1" applyFont="1" applyFill="1" applyAlignment="1">
      <alignment vertical="center"/>
    </xf>
    <xf numFmtId="6" fontId="67" fillId="14" borderId="9" xfId="1" applyNumberFormat="1" applyFont="1" applyFill="1" applyBorder="1" applyAlignment="1">
      <alignment horizontal="right"/>
    </xf>
    <xf numFmtId="38" fontId="67" fillId="14" borderId="29" xfId="1" applyNumberFormat="1" applyFont="1" applyFill="1" applyBorder="1" applyAlignment="1">
      <alignment horizontal="right"/>
    </xf>
    <xf numFmtId="38" fontId="0" fillId="0" borderId="48" xfId="1" applyNumberFormat="1" applyFont="1" applyFill="1" applyBorder="1" applyAlignment="1"/>
    <xf numFmtId="40" fontId="13" fillId="0" borderId="0" xfId="0" applyNumberFormat="1" applyFont="1"/>
    <xf numFmtId="40" fontId="11" fillId="0" borderId="0" xfId="0" applyNumberFormat="1" applyFont="1" applyAlignment="1">
      <alignment vertical="center"/>
    </xf>
    <xf numFmtId="4" fontId="51" fillId="0" borderId="0" xfId="0" applyNumberFormat="1" applyFont="1"/>
    <xf numFmtId="42" fontId="6" fillId="3" borderId="46" xfId="0" applyNumberFormat="1" applyFont="1" applyFill="1" applyBorder="1"/>
    <xf numFmtId="3" fontId="21" fillId="9" borderId="21" xfId="1" applyNumberFormat="1" applyFont="1" applyFill="1" applyBorder="1" applyAlignment="1">
      <alignment horizontal="right"/>
    </xf>
    <xf numFmtId="0" fontId="6" fillId="0" borderId="0" xfId="0" applyFont="1" applyAlignment="1">
      <alignment horizontal="center"/>
    </xf>
    <xf numFmtId="6" fontId="21" fillId="9" borderId="20" xfId="0" applyNumberFormat="1" applyFont="1" applyFill="1" applyBorder="1" applyAlignment="1">
      <alignment horizontal="right"/>
    </xf>
    <xf numFmtId="6" fontId="21" fillId="9" borderId="19" xfId="0" applyNumberFormat="1" applyFont="1" applyFill="1" applyBorder="1" applyAlignment="1">
      <alignment horizontal="right"/>
    </xf>
    <xf numFmtId="49" fontId="21" fillId="15" borderId="52" xfId="0" applyNumberFormat="1" applyFont="1" applyFill="1" applyBorder="1" applyAlignment="1">
      <alignment vertical="center"/>
    </xf>
    <xf numFmtId="49" fontId="21" fillId="15" borderId="53" xfId="0" applyNumberFormat="1" applyFont="1" applyFill="1" applyBorder="1" applyAlignment="1">
      <alignment vertical="center"/>
    </xf>
    <xf numFmtId="38" fontId="21" fillId="15" borderId="53" xfId="1" applyNumberFormat="1" applyFont="1" applyFill="1" applyBorder="1" applyAlignment="1">
      <alignment horizontal="right"/>
    </xf>
    <xf numFmtId="49" fontId="21" fillId="15" borderId="26" xfId="0" applyNumberFormat="1" applyFont="1" applyFill="1" applyBorder="1" applyAlignment="1">
      <alignment vertical="center"/>
    </xf>
    <xf numFmtId="49" fontId="21" fillId="15" borderId="20" xfId="0" applyNumberFormat="1" applyFont="1" applyFill="1" applyBorder="1" applyAlignment="1">
      <alignment vertical="center"/>
    </xf>
    <xf numFmtId="6" fontId="21" fillId="15" borderId="20" xfId="1" applyNumberFormat="1" applyFont="1" applyFill="1" applyBorder="1" applyAlignment="1">
      <alignment horizontal="right"/>
    </xf>
    <xf numFmtId="38" fontId="21" fillId="15" borderId="20" xfId="1" applyNumberFormat="1" applyFont="1" applyFill="1" applyBorder="1" applyAlignment="1">
      <alignment horizontal="right"/>
    </xf>
    <xf numFmtId="3" fontId="21" fillId="15" borderId="21" xfId="1" applyNumberFormat="1" applyFont="1" applyFill="1" applyBorder="1" applyAlignment="1">
      <alignment horizontal="right"/>
    </xf>
    <xf numFmtId="49" fontId="67" fillId="11" borderId="32" xfId="0" applyNumberFormat="1" applyFont="1" applyFill="1" applyBorder="1" applyAlignment="1">
      <alignment vertical="center"/>
    </xf>
    <xf numFmtId="49" fontId="67" fillId="11" borderId="33" xfId="0" applyNumberFormat="1" applyFont="1" applyFill="1" applyBorder="1" applyAlignment="1">
      <alignment vertical="center"/>
    </xf>
    <xf numFmtId="6" fontId="67" fillId="11" borderId="66" xfId="1" applyNumberFormat="1" applyFont="1" applyFill="1" applyBorder="1" applyAlignment="1">
      <alignment horizontal="right"/>
    </xf>
    <xf numFmtId="38" fontId="67" fillId="11" borderId="66" xfId="1" applyNumberFormat="1" applyFont="1" applyFill="1" applyBorder="1" applyAlignment="1">
      <alignment horizontal="right"/>
    </xf>
    <xf numFmtId="3" fontId="67" fillId="11" borderId="59" xfId="1" applyNumberFormat="1" applyFont="1" applyFill="1" applyBorder="1" applyAlignment="1">
      <alignment horizontal="right"/>
    </xf>
    <xf numFmtId="38" fontId="22" fillId="15" borderId="53" xfId="1" applyNumberFormat="1" applyFont="1" applyFill="1" applyBorder="1" applyAlignment="1">
      <alignment horizontal="right"/>
    </xf>
    <xf numFmtId="38" fontId="22" fillId="15" borderId="20" xfId="1" applyNumberFormat="1" applyFont="1" applyFill="1" applyBorder="1" applyAlignment="1">
      <alignment horizontal="right"/>
    </xf>
    <xf numFmtId="38" fontId="22" fillId="0" borderId="0" xfId="1" applyNumberFormat="1" applyFont="1" applyFill="1" applyBorder="1" applyAlignment="1">
      <alignment horizontal="right"/>
    </xf>
    <xf numFmtId="38" fontId="72" fillId="11" borderId="66" xfId="1" applyNumberFormat="1" applyFont="1" applyFill="1" applyBorder="1" applyAlignment="1">
      <alignment horizontal="right"/>
    </xf>
    <xf numFmtId="38" fontId="21" fillId="15" borderId="11" xfId="1" applyNumberFormat="1" applyFont="1" applyFill="1" applyBorder="1" applyAlignment="1">
      <alignment horizontal="right"/>
    </xf>
    <xf numFmtId="38" fontId="22" fillId="15" borderId="11" xfId="1" applyNumberFormat="1" applyFont="1" applyFill="1" applyBorder="1" applyAlignment="1">
      <alignment horizontal="right"/>
    </xf>
    <xf numFmtId="3" fontId="21" fillId="15" borderId="36" xfId="1" applyNumberFormat="1" applyFont="1" applyFill="1" applyBorder="1" applyAlignment="1">
      <alignment horizontal="right"/>
    </xf>
    <xf numFmtId="3" fontId="21" fillId="15" borderId="56" xfId="1" applyNumberFormat="1" applyFont="1" applyFill="1" applyBorder="1" applyAlignment="1">
      <alignment horizontal="right"/>
    </xf>
    <xf numFmtId="6" fontId="22" fillId="15" borderId="53" xfId="1" applyNumberFormat="1" applyFont="1" applyFill="1" applyBorder="1" applyAlignment="1">
      <alignment horizontal="right"/>
    </xf>
    <xf numFmtId="42" fontId="0" fillId="0" borderId="9" xfId="0" applyNumberFormat="1" applyBorder="1" applyAlignment="1">
      <alignment horizontal="left" vertical="top" wrapText="1"/>
    </xf>
    <xf numFmtId="172" fontId="52" fillId="0" borderId="0" xfId="0" applyNumberFormat="1" applyFont="1"/>
    <xf numFmtId="49" fontId="21" fillId="8" borderId="69" xfId="0" applyNumberFormat="1" applyFont="1" applyFill="1" applyBorder="1"/>
    <xf numFmtId="40" fontId="6" fillId="0" borderId="0" xfId="0" applyNumberFormat="1" applyFont="1"/>
    <xf numFmtId="0" fontId="0" fillId="4" borderId="0" xfId="0" applyFill="1"/>
    <xf numFmtId="42" fontId="6" fillId="3" borderId="0" xfId="0" applyNumberFormat="1" applyFont="1" applyFill="1"/>
    <xf numFmtId="0" fontId="7" fillId="4" borderId="0" xfId="0" applyFont="1" applyFill="1"/>
    <xf numFmtId="0" fontId="0" fillId="4" borderId="2" xfId="0" applyFill="1" applyBorder="1"/>
    <xf numFmtId="0" fontId="0" fillId="0" borderId="65" xfId="0" applyBorder="1"/>
    <xf numFmtId="1" fontId="8" fillId="0" borderId="0" xfId="0" applyNumberFormat="1" applyFont="1" applyAlignment="1">
      <alignment vertical="center"/>
    </xf>
    <xf numFmtId="173" fontId="8" fillId="0" borderId="0" xfId="7" applyNumberFormat="1" applyFont="1" applyAlignment="1">
      <alignment vertical="center"/>
    </xf>
    <xf numFmtId="38" fontId="0" fillId="9" borderId="49" xfId="1" applyNumberFormat="1" applyFont="1" applyFill="1" applyBorder="1" applyAlignment="1"/>
    <xf numFmtId="40" fontId="58" fillId="0" borderId="0" xfId="0" applyNumberFormat="1" applyFont="1"/>
    <xf numFmtId="1" fontId="0" fillId="0" borderId="0" xfId="0" applyNumberFormat="1" applyAlignment="1">
      <alignment horizontal="left"/>
    </xf>
    <xf numFmtId="10" fontId="0" fillId="0" borderId="0" xfId="0" applyNumberFormat="1" applyAlignment="1">
      <alignment horizontal="left"/>
    </xf>
    <xf numFmtId="38" fontId="0" fillId="0" borderId="0" xfId="0" quotePrefix="1" applyNumberFormat="1"/>
    <xf numFmtId="49" fontId="67" fillId="4" borderId="33" xfId="0" applyNumberFormat="1" applyFont="1" applyFill="1" applyBorder="1" applyAlignment="1">
      <alignment horizontal="center" vertical="center"/>
    </xf>
    <xf numFmtId="6" fontId="67" fillId="4" borderId="38" xfId="1" applyNumberFormat="1" applyFont="1" applyFill="1" applyBorder="1" applyAlignment="1">
      <alignment horizontal="right"/>
    </xf>
    <xf numFmtId="43" fontId="72" fillId="4" borderId="38" xfId="7" applyFont="1" applyFill="1" applyBorder="1" applyAlignment="1">
      <alignment horizontal="right"/>
    </xf>
    <xf numFmtId="173" fontId="67" fillId="4" borderId="42" xfId="7" applyNumberFormat="1" applyFont="1" applyFill="1" applyBorder="1" applyAlignment="1">
      <alignment horizontal="right"/>
    </xf>
    <xf numFmtId="49" fontId="21" fillId="10" borderId="70" xfId="0" applyNumberFormat="1" applyFont="1" applyFill="1" applyBorder="1"/>
    <xf numFmtId="6" fontId="21" fillId="10" borderId="53" xfId="1" applyNumberFormat="1" applyFont="1" applyFill="1" applyBorder="1" applyAlignment="1">
      <alignment horizontal="right"/>
    </xf>
    <xf numFmtId="6" fontId="21" fillId="10" borderId="54" xfId="1" applyNumberFormat="1" applyFont="1" applyFill="1" applyBorder="1" applyAlignment="1">
      <alignment horizontal="right"/>
    </xf>
    <xf numFmtId="49" fontId="21" fillId="4" borderId="28" xfId="0" applyNumberFormat="1" applyFont="1" applyFill="1" applyBorder="1"/>
    <xf numFmtId="38" fontId="22" fillId="4" borderId="37" xfId="1" applyNumberFormat="1" applyFont="1" applyFill="1" applyBorder="1" applyAlignment="1">
      <alignment horizontal="right"/>
    </xf>
    <xf numFmtId="38" fontId="22" fillId="4" borderId="39" xfId="1" applyNumberFormat="1" applyFont="1" applyFill="1" applyBorder="1" applyAlignment="1">
      <alignment horizontal="right"/>
    </xf>
    <xf numFmtId="3" fontId="22" fillId="4" borderId="36" xfId="1" applyNumberFormat="1" applyFont="1" applyFill="1" applyBorder="1" applyAlignment="1">
      <alignment horizontal="right"/>
    </xf>
    <xf numFmtId="49" fontId="22" fillId="4" borderId="0" xfId="0" applyNumberFormat="1" applyFont="1" applyFill="1"/>
    <xf numFmtId="38" fontId="22" fillId="4" borderId="1" xfId="1" applyNumberFormat="1" applyFont="1" applyFill="1" applyBorder="1" applyAlignment="1">
      <alignment horizontal="right"/>
    </xf>
    <xf numFmtId="38" fontId="22" fillId="4" borderId="9" xfId="1" applyNumberFormat="1" applyFont="1" applyFill="1" applyBorder="1" applyAlignment="1">
      <alignment horizontal="right"/>
    </xf>
    <xf numFmtId="3" fontId="22" fillId="4" borderId="17" xfId="1" applyNumberFormat="1" applyFont="1" applyFill="1" applyBorder="1" applyAlignment="1">
      <alignment horizontal="right"/>
    </xf>
    <xf numFmtId="6" fontId="21" fillId="4" borderId="19" xfId="0" applyNumberFormat="1" applyFont="1" applyFill="1" applyBorder="1" applyAlignment="1">
      <alignment horizontal="center"/>
    </xf>
    <xf numFmtId="6" fontId="21" fillId="4" borderId="25" xfId="1" applyNumberFormat="1" applyFont="1" applyFill="1" applyBorder="1" applyAlignment="1">
      <alignment horizontal="right"/>
    </xf>
    <xf numFmtId="6" fontId="21" fillId="4" borderId="21" xfId="1" applyNumberFormat="1" applyFont="1" applyFill="1" applyBorder="1" applyAlignment="1">
      <alignment horizontal="right"/>
    </xf>
    <xf numFmtId="49" fontId="21" fillId="4" borderId="34" xfId="0" applyNumberFormat="1" applyFont="1" applyFill="1" applyBorder="1"/>
    <xf numFmtId="49" fontId="21" fillId="4" borderId="24" xfId="0" applyNumberFormat="1" applyFont="1" applyFill="1" applyBorder="1"/>
    <xf numFmtId="6" fontId="0" fillId="4" borderId="35" xfId="0" applyNumberFormat="1" applyFill="1" applyBorder="1"/>
    <xf numFmtId="49" fontId="21" fillId="9" borderId="37" xfId="0" applyNumberFormat="1" applyFont="1" applyFill="1" applyBorder="1"/>
    <xf numFmtId="49" fontId="21" fillId="9" borderId="39" xfId="0" applyNumberFormat="1" applyFont="1" applyFill="1" applyBorder="1"/>
    <xf numFmtId="3" fontId="21" fillId="9" borderId="36" xfId="0" applyNumberFormat="1" applyFont="1" applyFill="1" applyBorder="1"/>
    <xf numFmtId="49" fontId="22" fillId="9" borderId="0" xfId="0" applyNumberFormat="1" applyFont="1" applyFill="1"/>
    <xf numFmtId="3" fontId="22" fillId="9" borderId="17" xfId="1" applyNumberFormat="1" applyFont="1" applyFill="1" applyBorder="1" applyAlignment="1">
      <alignment horizontal="right"/>
    </xf>
    <xf numFmtId="6" fontId="0" fillId="9" borderId="18" xfId="0" applyNumberFormat="1" applyFill="1" applyBorder="1"/>
    <xf numFmtId="169" fontId="21" fillId="9" borderId="20" xfId="1" applyNumberFormat="1" applyFont="1" applyFill="1" applyBorder="1" applyAlignment="1">
      <alignment horizontal="right"/>
    </xf>
    <xf numFmtId="169" fontId="21" fillId="9" borderId="21" xfId="1" applyNumberFormat="1" applyFont="1" applyFill="1" applyBorder="1" applyAlignment="1">
      <alignment horizontal="right"/>
    </xf>
    <xf numFmtId="49" fontId="21" fillId="10" borderId="34" xfId="0" applyNumberFormat="1" applyFont="1" applyFill="1" applyBorder="1" applyAlignment="1">
      <alignment horizontal="left"/>
    </xf>
    <xf numFmtId="49" fontId="21" fillId="10" borderId="28" xfId="0" applyNumberFormat="1" applyFont="1" applyFill="1" applyBorder="1" applyAlignment="1">
      <alignment horizontal="center"/>
    </xf>
    <xf numFmtId="38" fontId="21" fillId="10" borderId="37" xfId="1" applyNumberFormat="1" applyFont="1" applyFill="1" applyBorder="1" applyAlignment="1">
      <alignment horizontal="right"/>
    </xf>
    <xf numFmtId="38" fontId="21" fillId="10" borderId="39" xfId="1" applyNumberFormat="1" applyFont="1" applyFill="1" applyBorder="1" applyAlignment="1">
      <alignment horizontal="right"/>
    </xf>
    <xf numFmtId="3" fontId="21" fillId="10" borderId="36" xfId="1" applyNumberFormat="1" applyFont="1" applyFill="1" applyBorder="1" applyAlignment="1">
      <alignment horizontal="right"/>
    </xf>
    <xf numFmtId="49" fontId="21" fillId="10" borderId="16" xfId="0" applyNumberFormat="1" applyFont="1" applyFill="1" applyBorder="1" applyAlignment="1">
      <alignment horizontal="left"/>
    </xf>
    <xf numFmtId="49" fontId="22" fillId="10" borderId="0" xfId="0" applyNumberFormat="1" applyFont="1" applyFill="1" applyAlignment="1">
      <alignment horizontal="left"/>
    </xf>
    <xf numFmtId="38" fontId="21" fillId="10" borderId="1" xfId="1" applyNumberFormat="1" applyFont="1" applyFill="1" applyBorder="1" applyAlignment="1">
      <alignment horizontal="right"/>
    </xf>
    <xf numFmtId="38" fontId="21" fillId="10" borderId="9" xfId="1" applyNumberFormat="1" applyFont="1" applyFill="1" applyBorder="1" applyAlignment="1">
      <alignment horizontal="right"/>
    </xf>
    <xf numFmtId="0" fontId="8" fillId="10" borderId="16" xfId="0" applyFont="1" applyFill="1" applyBorder="1" applyAlignment="1">
      <alignment horizontal="center"/>
    </xf>
    <xf numFmtId="38" fontId="72" fillId="10" borderId="1" xfId="1" applyNumberFormat="1" applyFont="1" applyFill="1" applyBorder="1" applyAlignment="1">
      <alignment horizontal="right"/>
    </xf>
    <xf numFmtId="6" fontId="0" fillId="10" borderId="18" xfId="0" applyNumberFormat="1" applyFill="1" applyBorder="1" applyAlignment="1">
      <alignment horizontal="center"/>
    </xf>
    <xf numFmtId="6" fontId="7" fillId="10" borderId="19" xfId="0" applyNumberFormat="1" applyFont="1" applyFill="1" applyBorder="1" applyAlignment="1">
      <alignment horizontal="center"/>
    </xf>
    <xf numFmtId="6" fontId="21" fillId="10" borderId="21" xfId="1" applyNumberFormat="1" applyFont="1" applyFill="1" applyBorder="1" applyAlignment="1">
      <alignment horizontal="right"/>
    </xf>
    <xf numFmtId="6" fontId="21" fillId="16" borderId="32" xfId="0" applyNumberFormat="1" applyFont="1" applyFill="1" applyBorder="1"/>
    <xf numFmtId="6" fontId="21" fillId="16" borderId="33" xfId="0" applyNumberFormat="1" applyFont="1" applyFill="1" applyBorder="1" applyAlignment="1">
      <alignment horizontal="center" vertical="center"/>
    </xf>
    <xf numFmtId="169" fontId="7" fillId="16" borderId="38" xfId="1" applyNumberFormat="1" applyFont="1" applyFill="1" applyBorder="1" applyAlignment="1">
      <alignment horizontal="right"/>
    </xf>
    <xf numFmtId="49" fontId="67" fillId="3" borderId="32" xfId="0" applyNumberFormat="1" applyFont="1" applyFill="1" applyBorder="1" applyAlignment="1">
      <alignment vertical="center"/>
    </xf>
    <xf numFmtId="49" fontId="21" fillId="12" borderId="60" xfId="0" applyNumberFormat="1" applyFont="1" applyFill="1" applyBorder="1" applyAlignment="1">
      <alignment vertical="center"/>
    </xf>
    <xf numFmtId="38" fontId="22" fillId="12" borderId="38" xfId="1" applyNumberFormat="1" applyFont="1" applyFill="1" applyBorder="1" applyAlignment="1">
      <alignment horizontal="right"/>
    </xf>
    <xf numFmtId="3" fontId="21" fillId="12" borderId="59" xfId="1" applyNumberFormat="1" applyFont="1" applyFill="1" applyBorder="1" applyAlignment="1">
      <alignment horizontal="right"/>
    </xf>
    <xf numFmtId="49" fontId="21" fillId="10" borderId="71" xfId="0" applyNumberFormat="1" applyFont="1" applyFill="1" applyBorder="1"/>
    <xf numFmtId="41" fontId="10" fillId="0" borderId="0" xfId="0" applyNumberFormat="1" applyFont="1" applyAlignment="1">
      <alignment vertical="center"/>
    </xf>
    <xf numFmtId="9" fontId="0" fillId="0" borderId="0" xfId="4" applyFont="1" applyAlignment="1">
      <alignment horizontal="center" vertical="center"/>
    </xf>
    <xf numFmtId="41" fontId="0" fillId="0" borderId="0" xfId="0" applyNumberFormat="1" applyAlignment="1">
      <alignment horizontal="center" vertical="center"/>
    </xf>
    <xf numFmtId="9" fontId="0" fillId="0" borderId="27" xfId="4" applyFont="1" applyBorder="1" applyAlignment="1">
      <alignment horizontal="center" vertical="center"/>
    </xf>
    <xf numFmtId="9" fontId="0" fillId="0" borderId="2" xfId="4" applyFont="1" applyBorder="1" applyAlignment="1">
      <alignment horizontal="center" vertical="center"/>
    </xf>
    <xf numFmtId="9" fontId="0" fillId="0" borderId="33" xfId="4" applyFont="1" applyBorder="1" applyAlignment="1">
      <alignment horizontal="center" vertical="center"/>
    </xf>
    <xf numFmtId="49" fontId="21" fillId="12" borderId="58" xfId="0" applyNumberFormat="1" applyFont="1" applyFill="1" applyBorder="1" applyAlignment="1">
      <alignment vertical="center"/>
    </xf>
    <xf numFmtId="174" fontId="18" fillId="0" borderId="0" xfId="0" applyNumberFormat="1" applyFont="1" applyAlignment="1">
      <alignment vertical="center"/>
    </xf>
    <xf numFmtId="165" fontId="57" fillId="0" borderId="27" xfId="0" applyNumberFormat="1" applyFont="1" applyBorder="1" applyAlignment="1">
      <alignment horizontal="center"/>
    </xf>
    <xf numFmtId="49" fontId="18" fillId="0" borderId="0" xfId="0" applyNumberFormat="1" applyFont="1" applyAlignment="1">
      <alignment horizontal="left" vertical="center" indent="2"/>
    </xf>
    <xf numFmtId="49" fontId="14" fillId="0" borderId="0" xfId="0" applyNumberFormat="1" applyFont="1" applyAlignment="1">
      <alignment horizontal="left" vertical="center" indent="2"/>
    </xf>
    <xf numFmtId="41" fontId="18" fillId="0" borderId="0" xfId="0" applyNumberFormat="1" applyFont="1" applyAlignment="1">
      <alignment horizontal="left" vertical="center" indent="2"/>
    </xf>
    <xf numFmtId="165" fontId="57" fillId="3" borderId="27" xfId="0" applyNumberFormat="1" applyFont="1" applyFill="1" applyBorder="1" applyAlignment="1">
      <alignment horizontal="center"/>
    </xf>
    <xf numFmtId="42" fontId="18" fillId="3" borderId="0" xfId="0" applyNumberFormat="1" applyFont="1" applyFill="1" applyAlignment="1">
      <alignment vertical="center"/>
    </xf>
    <xf numFmtId="41" fontId="18" fillId="3" borderId="0" xfId="0" applyNumberFormat="1" applyFont="1" applyFill="1" applyAlignment="1">
      <alignment vertical="center"/>
    </xf>
    <xf numFmtId="41" fontId="18" fillId="3" borderId="27" xfId="0" applyNumberFormat="1" applyFont="1" applyFill="1" applyBorder="1" applyAlignment="1">
      <alignment vertical="center"/>
    </xf>
    <xf numFmtId="0" fontId="0" fillId="3" borderId="0" xfId="0" applyFill="1" applyAlignment="1">
      <alignment vertical="center"/>
    </xf>
    <xf numFmtId="41" fontId="18" fillId="3" borderId="0" xfId="0" applyNumberFormat="1" applyFont="1" applyFill="1" applyAlignment="1">
      <alignment horizontal="left" vertical="center" indent="2"/>
    </xf>
    <xf numFmtId="41" fontId="18" fillId="3" borderId="19" xfId="0" applyNumberFormat="1" applyFont="1" applyFill="1" applyBorder="1" applyAlignment="1">
      <alignment vertical="center"/>
    </xf>
    <xf numFmtId="42" fontId="18" fillId="3" borderId="27" xfId="0" applyNumberFormat="1" applyFont="1" applyFill="1" applyBorder="1" applyAlignment="1">
      <alignment vertical="center"/>
    </xf>
    <xf numFmtId="42" fontId="18" fillId="3" borderId="31" xfId="0" applyNumberFormat="1" applyFont="1" applyFill="1" applyBorder="1" applyAlignment="1">
      <alignment vertical="center"/>
    </xf>
    <xf numFmtId="7" fontId="18" fillId="3" borderId="19" xfId="0" applyNumberFormat="1" applyFont="1" applyFill="1" applyBorder="1" applyAlignment="1">
      <alignment vertical="center"/>
    </xf>
    <xf numFmtId="174" fontId="18" fillId="3" borderId="0" xfId="0" applyNumberFormat="1" applyFont="1" applyFill="1" applyAlignment="1">
      <alignment vertical="center"/>
    </xf>
    <xf numFmtId="49" fontId="57" fillId="0" borderId="27" xfId="0" applyNumberFormat="1" applyFont="1" applyBorder="1" applyAlignment="1">
      <alignment horizontal="center"/>
    </xf>
    <xf numFmtId="0" fontId="0" fillId="6" borderId="16" xfId="0" applyFill="1" applyBorder="1" applyAlignment="1">
      <alignment horizontal="left"/>
    </xf>
    <xf numFmtId="41" fontId="18" fillId="17" borderId="0" xfId="0" applyNumberFormat="1" applyFont="1" applyFill="1" applyAlignment="1">
      <alignment vertical="center"/>
    </xf>
    <xf numFmtId="9" fontId="0" fillId="0" borderId="0" xfId="4" applyFont="1" applyAlignment="1">
      <alignment vertical="center"/>
    </xf>
    <xf numFmtId="165" fontId="73" fillId="0" borderId="27" xfId="0" applyNumberFormat="1" applyFont="1" applyBorder="1" applyAlignment="1">
      <alignment horizontal="right"/>
    </xf>
    <xf numFmtId="49" fontId="18" fillId="0" borderId="0" xfId="0" applyNumberFormat="1" applyFont="1" applyAlignment="1">
      <alignment horizontal="left" vertical="center" indent="4"/>
    </xf>
    <xf numFmtId="49" fontId="18" fillId="0" borderId="0" xfId="0" applyNumberFormat="1" applyFont="1" applyAlignment="1">
      <alignment horizontal="left" vertical="center" indent="12"/>
    </xf>
    <xf numFmtId="0" fontId="0" fillId="0" borderId="0" xfId="0" applyAlignment="1">
      <alignment horizontal="left" vertical="center" indent="12"/>
    </xf>
    <xf numFmtId="49" fontId="14" fillId="0" borderId="0" xfId="0" applyNumberFormat="1" applyFont="1" applyAlignment="1">
      <alignment horizontal="left" vertical="center" indent="7"/>
    </xf>
    <xf numFmtId="49" fontId="14" fillId="0" borderId="0" xfId="0" applyNumberFormat="1" applyFont="1" applyAlignment="1">
      <alignment horizontal="left" vertical="center" indent="8"/>
    </xf>
    <xf numFmtId="49" fontId="14" fillId="0" borderId="0" xfId="0" applyNumberFormat="1" applyFont="1" applyAlignment="1">
      <alignment horizontal="left" vertical="center" indent="24"/>
    </xf>
    <xf numFmtId="49" fontId="21" fillId="9" borderId="28" xfId="0" applyNumberFormat="1" applyFont="1" applyFill="1" applyBorder="1"/>
    <xf numFmtId="6" fontId="21" fillId="9" borderId="39" xfId="1" applyNumberFormat="1" applyFont="1" applyFill="1" applyBorder="1" applyAlignment="1">
      <alignment horizontal="right"/>
    </xf>
    <xf numFmtId="38" fontId="21" fillId="9" borderId="39" xfId="1" applyNumberFormat="1" applyFont="1" applyFill="1" applyBorder="1" applyAlignment="1">
      <alignment horizontal="right"/>
    </xf>
    <xf numFmtId="3" fontId="21" fillId="9" borderId="41" xfId="1" applyNumberFormat="1" applyFont="1" applyFill="1" applyBorder="1" applyAlignment="1">
      <alignment horizontal="right"/>
    </xf>
    <xf numFmtId="3" fontId="21" fillId="9" borderId="29" xfId="1" applyNumberFormat="1" applyFont="1" applyFill="1" applyBorder="1" applyAlignment="1">
      <alignment horizontal="right"/>
    </xf>
    <xf numFmtId="49" fontId="21" fillId="9" borderId="24" xfId="0" applyNumberFormat="1" applyFont="1" applyFill="1" applyBorder="1"/>
    <xf numFmtId="49" fontId="22" fillId="9" borderId="2" xfId="0" applyNumberFormat="1" applyFont="1" applyFill="1" applyBorder="1"/>
    <xf numFmtId="38" fontId="22" fillId="9" borderId="10" xfId="1" applyNumberFormat="1" applyFont="1" applyFill="1" applyBorder="1" applyAlignment="1">
      <alignment horizontal="right"/>
    </xf>
    <xf numFmtId="3" fontId="21" fillId="9" borderId="43" xfId="1" applyNumberFormat="1" applyFont="1" applyFill="1" applyBorder="1" applyAlignment="1">
      <alignment horizontal="right"/>
    </xf>
    <xf numFmtId="6" fontId="21" fillId="9" borderId="40" xfId="1" applyNumberFormat="1" applyFont="1" applyFill="1" applyBorder="1" applyAlignment="1">
      <alignment horizontal="right"/>
    </xf>
    <xf numFmtId="3" fontId="21" fillId="9" borderId="40" xfId="1" applyNumberFormat="1" applyFont="1" applyFill="1" applyBorder="1" applyAlignment="1">
      <alignment horizontal="right"/>
    </xf>
    <xf numFmtId="49" fontId="67" fillId="12" borderId="32" xfId="0" applyNumberFormat="1" applyFont="1" applyFill="1" applyBorder="1" applyAlignment="1">
      <alignment vertical="center"/>
    </xf>
    <xf numFmtId="49" fontId="67" fillId="12" borderId="33" xfId="0" applyNumberFormat="1" applyFont="1" applyFill="1" applyBorder="1" applyAlignment="1">
      <alignment horizontal="center" vertical="center"/>
    </xf>
    <xf numFmtId="6" fontId="67" fillId="12" borderId="38" xfId="1" applyNumberFormat="1" applyFont="1" applyFill="1" applyBorder="1" applyAlignment="1">
      <alignment horizontal="right"/>
    </xf>
    <xf numFmtId="43" fontId="72" fillId="12" borderId="38" xfId="7" applyFont="1" applyFill="1" applyBorder="1" applyAlignment="1">
      <alignment horizontal="right"/>
    </xf>
    <xf numFmtId="173" fontId="67" fillId="12" borderId="42" xfId="7" applyNumberFormat="1" applyFont="1" applyFill="1" applyBorder="1" applyAlignment="1">
      <alignment horizontal="right"/>
    </xf>
    <xf numFmtId="49" fontId="67" fillId="10" borderId="32" xfId="0" applyNumberFormat="1" applyFont="1" applyFill="1" applyBorder="1" applyAlignment="1">
      <alignment vertical="center"/>
    </xf>
    <xf numFmtId="49" fontId="67" fillId="10" borderId="33" xfId="0" applyNumberFormat="1" applyFont="1" applyFill="1" applyBorder="1" applyAlignment="1">
      <alignment horizontal="center" vertical="center"/>
    </xf>
    <xf numFmtId="6" fontId="67" fillId="10" borderId="38" xfId="1" applyNumberFormat="1" applyFont="1" applyFill="1" applyBorder="1" applyAlignment="1">
      <alignment horizontal="right"/>
    </xf>
    <xf numFmtId="43" fontId="72" fillId="10" borderId="38" xfId="7" applyFont="1" applyFill="1" applyBorder="1" applyAlignment="1">
      <alignment horizontal="right"/>
    </xf>
    <xf numFmtId="173" fontId="67" fillId="10" borderId="42" xfId="7" applyNumberFormat="1" applyFont="1" applyFill="1" applyBorder="1" applyAlignment="1">
      <alignment horizontal="right"/>
    </xf>
    <xf numFmtId="49" fontId="21" fillId="10" borderId="69" xfId="0" applyNumberFormat="1" applyFont="1" applyFill="1" applyBorder="1"/>
    <xf numFmtId="14" fontId="0" fillId="0" borderId="2" xfId="0" applyNumberFormat="1" applyBorder="1" applyAlignment="1">
      <alignment horizontal="center"/>
    </xf>
    <xf numFmtId="14" fontId="0" fillId="0" borderId="27" xfId="0" applyNumberFormat="1" applyBorder="1" applyAlignment="1">
      <alignment horizontal="center"/>
    </xf>
    <xf numFmtId="14" fontId="0" fillId="0" borderId="46" xfId="0" applyNumberFormat="1" applyBorder="1" applyAlignment="1">
      <alignment horizontal="center"/>
    </xf>
    <xf numFmtId="42" fontId="74" fillId="0" borderId="0" xfId="0" applyNumberFormat="1" applyFont="1" applyAlignment="1">
      <alignment vertical="center"/>
    </xf>
    <xf numFmtId="0" fontId="74" fillId="0" borderId="0" xfId="0" applyFont="1" applyAlignment="1">
      <alignment vertical="center"/>
    </xf>
    <xf numFmtId="41" fontId="74" fillId="0" borderId="0" xfId="0" applyNumberFormat="1" applyFont="1" applyAlignment="1">
      <alignment vertical="center"/>
    </xf>
    <xf numFmtId="0" fontId="0" fillId="18" borderId="49" xfId="0" applyFill="1" applyBorder="1"/>
    <xf numFmtId="14" fontId="0" fillId="18" borderId="49" xfId="0" applyNumberFormat="1" applyFill="1" applyBorder="1" applyAlignment="1">
      <alignment horizontal="center"/>
    </xf>
    <xf numFmtId="14" fontId="0" fillId="18" borderId="0" xfId="0" applyNumberFormat="1" applyFill="1" applyAlignment="1">
      <alignment horizontal="center"/>
    </xf>
    <xf numFmtId="41" fontId="0" fillId="18" borderId="49" xfId="1" applyNumberFormat="1" applyFont="1" applyFill="1" applyBorder="1" applyAlignment="1"/>
    <xf numFmtId="41" fontId="0" fillId="18" borderId="0" xfId="1" applyNumberFormat="1" applyFont="1" applyFill="1" applyBorder="1" applyAlignment="1"/>
    <xf numFmtId="38" fontId="0" fillId="18" borderId="49" xfId="1" applyNumberFormat="1" applyFont="1" applyFill="1" applyBorder="1" applyAlignment="1"/>
    <xf numFmtId="0" fontId="0" fillId="6" borderId="49" xfId="0" applyFill="1" applyBorder="1"/>
    <xf numFmtId="0" fontId="0" fillId="6" borderId="0" xfId="0" applyFill="1" applyAlignment="1">
      <alignment horizontal="left"/>
    </xf>
    <xf numFmtId="0" fontId="0" fillId="6" borderId="29" xfId="0" applyFill="1" applyBorder="1" applyAlignment="1">
      <alignment horizontal="left"/>
    </xf>
    <xf numFmtId="41" fontId="0" fillId="6" borderId="49" xfId="1" applyNumberFormat="1" applyFont="1" applyFill="1" applyBorder="1" applyAlignment="1"/>
    <xf numFmtId="38" fontId="0" fillId="6" borderId="49" xfId="1" applyNumberFormat="1" applyFont="1" applyFill="1" applyBorder="1" applyAlignment="1"/>
    <xf numFmtId="41" fontId="32" fillId="6" borderId="49" xfId="1" applyNumberFormat="1" applyFont="1" applyFill="1" applyBorder="1" applyAlignment="1"/>
    <xf numFmtId="41" fontId="14" fillId="0" borderId="28" xfId="0" applyNumberFormat="1" applyFont="1" applyBorder="1" applyAlignment="1">
      <alignment vertical="center"/>
    </xf>
    <xf numFmtId="175" fontId="52" fillId="0" borderId="0" xfId="0" applyNumberFormat="1" applyFont="1"/>
    <xf numFmtId="175" fontId="11" fillId="0" borderId="0" xfId="0" applyNumberFormat="1" applyFont="1"/>
    <xf numFmtId="172" fontId="11" fillId="0" borderId="0" xfId="0" applyNumberFormat="1" applyFont="1"/>
    <xf numFmtId="3" fontId="75" fillId="0" borderId="0" xfId="0" applyNumberFormat="1" applyFont="1"/>
    <xf numFmtId="4" fontId="75" fillId="0" borderId="0" xfId="0" applyNumberFormat="1" applyFont="1"/>
    <xf numFmtId="0" fontId="76" fillId="0" borderId="0" xfId="0" applyFont="1"/>
    <xf numFmtId="41" fontId="26" fillId="0" borderId="33" xfId="0" applyNumberFormat="1" applyFont="1" applyBorder="1" applyAlignment="1">
      <alignment vertical="center"/>
    </xf>
    <xf numFmtId="41" fontId="26" fillId="0" borderId="19" xfId="0" applyNumberFormat="1" applyFont="1" applyBorder="1" applyAlignment="1">
      <alignment vertical="center"/>
    </xf>
    <xf numFmtId="9" fontId="0" fillId="0" borderId="19" xfId="4" applyFont="1" applyBorder="1" applyAlignment="1">
      <alignment horizontal="center" vertical="center"/>
    </xf>
    <xf numFmtId="9" fontId="27" fillId="0" borderId="19" xfId="4" applyFont="1" applyBorder="1" applyAlignment="1">
      <alignment horizontal="center" vertical="center"/>
    </xf>
    <xf numFmtId="9" fontId="27" fillId="0" borderId="27" xfId="4" applyFont="1" applyBorder="1" applyAlignment="1">
      <alignment horizontal="center" vertical="center"/>
    </xf>
    <xf numFmtId="41" fontId="55" fillId="0" borderId="27" xfId="0" applyNumberFormat="1" applyFont="1" applyBorder="1" applyAlignment="1">
      <alignment vertical="center"/>
    </xf>
    <xf numFmtId="165" fontId="28" fillId="0" borderId="27" xfId="0" applyNumberFormat="1" applyFont="1" applyBorder="1" applyAlignment="1">
      <alignment horizontal="center" wrapText="1"/>
    </xf>
    <xf numFmtId="165" fontId="28" fillId="0" borderId="0" xfId="0" applyNumberFormat="1" applyFont="1" applyAlignment="1">
      <alignment horizontal="center" wrapText="1"/>
    </xf>
    <xf numFmtId="0" fontId="8" fillId="0" borderId="0" xfId="0" applyFont="1" applyAlignment="1">
      <alignment wrapText="1"/>
    </xf>
    <xf numFmtId="40" fontId="0" fillId="0" borderId="0" xfId="0" applyNumberFormat="1" applyAlignment="1">
      <alignment wrapText="1"/>
    </xf>
    <xf numFmtId="40" fontId="8" fillId="0" borderId="0" xfId="0" applyNumberFormat="1" applyFont="1" applyAlignment="1">
      <alignment wrapText="1"/>
    </xf>
    <xf numFmtId="0" fontId="0" fillId="0" borderId="0" xfId="0" applyAlignment="1">
      <alignment wrapText="1"/>
    </xf>
    <xf numFmtId="165" fontId="28" fillId="0" borderId="27" xfId="0" applyNumberFormat="1" applyFont="1" applyBorder="1" applyAlignment="1">
      <alignment horizontal="center" vertical="top" wrapText="1"/>
    </xf>
    <xf numFmtId="41" fontId="18" fillId="0" borderId="28" xfId="0" applyNumberFormat="1" applyFont="1" applyBorder="1" applyAlignment="1">
      <alignment vertical="center"/>
    </xf>
    <xf numFmtId="169" fontId="0" fillId="0" borderId="0" xfId="0" applyNumberFormat="1"/>
    <xf numFmtId="44" fontId="74" fillId="0" borderId="0" xfId="1" applyFont="1" applyFill="1" applyAlignment="1">
      <alignment vertical="center"/>
    </xf>
    <xf numFmtId="41" fontId="16" fillId="0" borderId="30" xfId="0" applyNumberFormat="1" applyFont="1" applyBorder="1" applyAlignment="1">
      <alignment horizontal="center" vertical="center"/>
    </xf>
    <xf numFmtId="0" fontId="26" fillId="0" borderId="27" xfId="0" applyFont="1" applyBorder="1" applyAlignment="1">
      <alignment horizontal="center" vertical="center"/>
    </xf>
    <xf numFmtId="49" fontId="18" fillId="0" borderId="0" xfId="0" applyNumberFormat="1" applyFont="1" applyAlignment="1">
      <alignment horizontal="left" vertical="center"/>
    </xf>
    <xf numFmtId="0" fontId="57" fillId="0" borderId="0" xfId="0" applyFont="1" applyAlignment="1">
      <alignment horizontal="left" vertical="center" wrapText="1"/>
    </xf>
    <xf numFmtId="0" fontId="27" fillId="0" borderId="0" xfId="0" applyFont="1" applyAlignment="1">
      <alignment horizontal="left" vertical="center" wrapText="1"/>
    </xf>
    <xf numFmtId="49" fontId="14" fillId="0" borderId="0" xfId="0" applyNumberFormat="1" applyFont="1" applyAlignment="1">
      <alignment horizontal="center" vertical="center"/>
    </xf>
    <xf numFmtId="0" fontId="40" fillId="0" borderId="0" xfId="0" applyFont="1" applyAlignment="1">
      <alignment horizontal="center" vertical="center" wrapText="1"/>
    </xf>
    <xf numFmtId="0" fontId="36" fillId="0" borderId="0" xfId="0" applyFont="1" applyAlignment="1">
      <alignment horizontal="left" vertical="center" wrapText="1"/>
    </xf>
    <xf numFmtId="0" fontId="36" fillId="0" borderId="0" xfId="0" applyFont="1" applyAlignment="1">
      <alignment horizontal="left" vertical="top" wrapText="1"/>
    </xf>
    <xf numFmtId="0" fontId="36" fillId="0" borderId="0" xfId="0" applyFont="1" applyAlignment="1">
      <alignment horizontal="left" wrapText="1"/>
    </xf>
    <xf numFmtId="0" fontId="61" fillId="0" borderId="0" xfId="0" applyFont="1" applyAlignment="1">
      <alignment horizontal="center" vertical="center" wrapText="1"/>
    </xf>
    <xf numFmtId="0" fontId="40" fillId="0" borderId="0" xfId="0" applyFont="1" applyAlignment="1">
      <alignment horizontal="left" vertical="center" wrapText="1"/>
    </xf>
    <xf numFmtId="0" fontId="37" fillId="0" borderId="0" xfId="0" applyFont="1" applyAlignment="1">
      <alignment horizontal="left" vertical="center" wrapText="1" indent="2"/>
    </xf>
    <xf numFmtId="0" fontId="40" fillId="0" borderId="0" xfId="0" applyFont="1" applyAlignment="1">
      <alignment horizontal="right" vertical="center" wrapText="1"/>
    </xf>
    <xf numFmtId="0" fontId="37" fillId="0" borderId="0" xfId="0" applyFont="1" applyAlignment="1">
      <alignment horizontal="center" vertical="center" wrapText="1"/>
    </xf>
    <xf numFmtId="0" fontId="37" fillId="0" borderId="0" xfId="0" applyFont="1" applyAlignment="1">
      <alignment horizontal="right" vertical="center" wrapText="1"/>
    </xf>
    <xf numFmtId="0" fontId="37" fillId="0" borderId="0" xfId="0" applyFont="1" applyAlignment="1">
      <alignment horizontal="left" vertical="center" wrapText="1"/>
    </xf>
    <xf numFmtId="0" fontId="61" fillId="0" borderId="0" xfId="0" applyFont="1" applyAlignment="1">
      <alignment horizontal="lef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xf>
    <xf numFmtId="0" fontId="51" fillId="0" borderId="5" xfId="0" applyFont="1" applyBorder="1" applyAlignment="1">
      <alignment horizontal="center" vertical="center" wrapText="1"/>
    </xf>
    <xf numFmtId="0" fontId="51" fillId="0" borderId="7" xfId="0" applyFont="1" applyBorder="1" applyAlignment="1">
      <alignment horizontal="center" vertical="center" wrapText="1"/>
    </xf>
    <xf numFmtId="0" fontId="0" fillId="0" borderId="11" xfId="0" applyBorder="1" applyAlignment="1">
      <alignment horizontal="left" vertical="top" wrapText="1"/>
    </xf>
    <xf numFmtId="0" fontId="0" fillId="0" borderId="11" xfId="0" applyBorder="1" applyAlignment="1">
      <alignment horizontal="left" vertical="top"/>
    </xf>
    <xf numFmtId="17" fontId="0" fillId="0" borderId="2" xfId="0" applyNumberFormat="1" applyBorder="1" applyAlignment="1">
      <alignment horizontal="left" vertical="center" wrapText="1"/>
    </xf>
    <xf numFmtId="0" fontId="0" fillId="0" borderId="11" xfId="0" applyBorder="1" applyAlignment="1">
      <alignment horizontal="center" vertical="center" wrapText="1"/>
    </xf>
    <xf numFmtId="0" fontId="0" fillId="0" borderId="11" xfId="0" applyBorder="1" applyAlignment="1">
      <alignment horizontal="left" vertical="center" wrapText="1"/>
    </xf>
    <xf numFmtId="0" fontId="0" fillId="0" borderId="11" xfId="0" applyBorder="1" applyAlignment="1">
      <alignment horizontal="left" vertical="center"/>
    </xf>
    <xf numFmtId="0" fontId="24" fillId="0" borderId="5" xfId="0" applyFont="1" applyBorder="1" applyAlignment="1">
      <alignment horizontal="center" vertical="top" wrapText="1"/>
    </xf>
    <xf numFmtId="0" fontId="24" fillId="0" borderId="7" xfId="0" applyFont="1" applyBorder="1" applyAlignment="1">
      <alignment horizontal="center" vertical="top" wrapText="1"/>
    </xf>
    <xf numFmtId="0" fontId="3" fillId="0" borderId="11" xfId="0" applyFont="1" applyBorder="1" applyAlignment="1">
      <alignment horizontal="left" vertical="top"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35" fillId="0" borderId="0" xfId="0" applyFont="1" applyAlignment="1">
      <alignment horizontal="center" vertical="center"/>
    </xf>
    <xf numFmtId="167" fontId="35" fillId="0" borderId="0" xfId="0" applyNumberFormat="1" applyFont="1" applyAlignment="1">
      <alignment horizontal="center" vertical="center"/>
    </xf>
    <xf numFmtId="0" fontId="37" fillId="0" borderId="0" xfId="0" applyFont="1" applyAlignment="1">
      <alignment horizontal="left" vertical="top" wrapText="1"/>
    </xf>
    <xf numFmtId="0" fontId="37" fillId="0" borderId="0" xfId="0" applyFont="1" applyAlignment="1">
      <alignment horizontal="center" vertical="top" wrapText="1"/>
    </xf>
    <xf numFmtId="0" fontId="43" fillId="0" borderId="0" xfId="0" applyFont="1" applyAlignment="1">
      <alignment horizontal="center" vertical="center" wrapText="1"/>
    </xf>
    <xf numFmtId="0" fontId="36" fillId="0" borderId="2" xfId="0" applyFont="1" applyBorder="1" applyAlignment="1">
      <alignment horizontal="left" vertical="top" wrapText="1"/>
    </xf>
    <xf numFmtId="0" fontId="51" fillId="0" borderId="11" xfId="0" applyFont="1" applyBorder="1" applyAlignment="1">
      <alignment horizontal="center" vertical="center" wrapText="1"/>
    </xf>
    <xf numFmtId="41" fontId="37" fillId="0" borderId="0" xfId="0" applyNumberFormat="1" applyFont="1" applyAlignment="1">
      <alignment horizontal="center" vertical="center" wrapText="1"/>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0" fillId="0" borderId="16" xfId="0" applyBorder="1" applyAlignment="1">
      <alignment horizontal="left"/>
    </xf>
    <xf numFmtId="0" fontId="0" fillId="0" borderId="0" xfId="0" applyAlignment="1">
      <alignment horizontal="left"/>
    </xf>
    <xf numFmtId="0" fontId="0" fillId="0" borderId="29" xfId="0" applyBorder="1" applyAlignment="1">
      <alignment horizontal="left"/>
    </xf>
    <xf numFmtId="0" fontId="6" fillId="3" borderId="42" xfId="0" applyFont="1" applyFill="1" applyBorder="1" applyAlignment="1">
      <alignment horizontal="center" vertical="center"/>
    </xf>
    <xf numFmtId="0" fontId="0" fillId="0" borderId="23" xfId="0" applyBorder="1" applyAlignment="1">
      <alignment horizontal="left"/>
    </xf>
    <xf numFmtId="0" fontId="0" fillId="0" borderId="1" xfId="0" applyBorder="1" applyAlignment="1">
      <alignment horizontal="left"/>
    </xf>
    <xf numFmtId="0" fontId="0" fillId="0" borderId="68" xfId="0" applyBorder="1" applyAlignment="1">
      <alignment horizontal="left"/>
    </xf>
    <xf numFmtId="0" fontId="0" fillId="18" borderId="68" xfId="0" applyFill="1" applyBorder="1" applyAlignment="1">
      <alignment horizontal="left"/>
    </xf>
    <xf numFmtId="0" fontId="0" fillId="18" borderId="1" xfId="0" applyFill="1" applyBorder="1" applyAlignment="1">
      <alignment horizontal="left"/>
    </xf>
    <xf numFmtId="0" fontId="0" fillId="0" borderId="20" xfId="0" applyBorder="1" applyAlignment="1">
      <alignment horizontal="left"/>
    </xf>
    <xf numFmtId="0" fontId="32" fillId="0" borderId="16" xfId="0" applyFont="1" applyBorder="1" applyAlignment="1">
      <alignment horizontal="left"/>
    </xf>
    <xf numFmtId="0" fontId="32" fillId="0" borderId="0" xfId="0" applyFont="1" applyAlignment="1">
      <alignment horizontal="left"/>
    </xf>
    <xf numFmtId="0" fontId="32" fillId="0" borderId="29" xfId="0" applyFont="1" applyBorder="1" applyAlignment="1">
      <alignment horizontal="left"/>
    </xf>
    <xf numFmtId="0" fontId="0" fillId="0" borderId="11" xfId="0" applyBorder="1" applyAlignment="1">
      <alignment horizontal="left"/>
    </xf>
    <xf numFmtId="0" fontId="0" fillId="0" borderId="53"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49" fontId="21" fillId="9" borderId="35" xfId="0" applyNumberFormat="1" applyFont="1" applyFill="1" applyBorder="1" applyAlignment="1">
      <alignment horizontal="center" vertical="center"/>
    </xf>
    <xf numFmtId="49" fontId="21" fillId="9" borderId="50" xfId="0" applyNumberFormat="1" applyFont="1" applyFill="1" applyBorder="1" applyAlignment="1">
      <alignment horizontal="center" vertical="center"/>
    </xf>
    <xf numFmtId="49" fontId="21" fillId="9" borderId="34" xfId="0" applyNumberFormat="1" applyFont="1" applyFill="1" applyBorder="1" applyAlignment="1">
      <alignment horizontal="left"/>
    </xf>
    <xf numFmtId="49" fontId="21" fillId="9" borderId="28" xfId="0" applyNumberFormat="1" applyFont="1" applyFill="1" applyBorder="1" applyAlignment="1">
      <alignment horizontal="left"/>
    </xf>
    <xf numFmtId="49" fontId="21" fillId="15" borderId="69" xfId="0" applyNumberFormat="1" applyFont="1" applyFill="1" applyBorder="1" applyAlignment="1">
      <alignment horizontal="left" vertical="center"/>
    </xf>
    <xf numFmtId="49" fontId="21" fillId="15" borderId="7" xfId="0" applyNumberFormat="1" applyFont="1" applyFill="1" applyBorder="1" applyAlignment="1">
      <alignment horizontal="left" vertical="center"/>
    </xf>
    <xf numFmtId="49" fontId="21" fillId="11" borderId="35" xfId="0" applyNumberFormat="1" applyFont="1" applyFill="1" applyBorder="1" applyAlignment="1">
      <alignment horizontal="center" vertical="center"/>
    </xf>
    <xf numFmtId="49" fontId="21" fillId="11" borderId="50" xfId="0" applyNumberFormat="1" applyFont="1" applyFill="1" applyBorder="1" applyAlignment="1">
      <alignment horizontal="center" vertical="center"/>
    </xf>
    <xf numFmtId="49" fontId="20" fillId="0" borderId="0" xfId="0" applyNumberFormat="1" applyFont="1" applyAlignment="1">
      <alignment horizontal="center" vertical="center"/>
    </xf>
    <xf numFmtId="0" fontId="0" fillId="0" borderId="27" xfId="0" applyBorder="1" applyAlignment="1">
      <alignment horizontal="center"/>
    </xf>
    <xf numFmtId="0" fontId="17" fillId="0" borderId="0" xfId="0" applyFont="1" applyAlignment="1">
      <alignment horizontal="center" vertical="center"/>
    </xf>
    <xf numFmtId="0" fontId="0" fillId="0" borderId="27" xfId="0" applyBorder="1" applyAlignment="1">
      <alignment horizontal="center" wrapText="1"/>
    </xf>
    <xf numFmtId="49" fontId="14" fillId="0" borderId="27" xfId="0" applyNumberFormat="1" applyFont="1" applyBorder="1" applyAlignment="1">
      <alignment horizontal="left" wrapText="1"/>
    </xf>
    <xf numFmtId="0" fontId="62" fillId="0" borderId="32" xfId="0" applyFont="1" applyBorder="1" applyAlignment="1">
      <alignment horizontal="center"/>
    </xf>
    <xf numFmtId="0" fontId="62" fillId="0" borderId="33" xfId="0" applyFont="1" applyBorder="1" applyAlignment="1">
      <alignment horizontal="center"/>
    </xf>
    <xf numFmtId="0" fontId="62" fillId="0" borderId="42" xfId="0" applyFont="1" applyBorder="1" applyAlignment="1">
      <alignment horizontal="center"/>
    </xf>
    <xf numFmtId="49" fontId="14" fillId="0" borderId="27" xfId="0" applyNumberFormat="1" applyFont="1" applyBorder="1" applyAlignment="1">
      <alignment horizontal="center" wrapText="1"/>
    </xf>
    <xf numFmtId="49" fontId="14" fillId="0" borderId="0" xfId="0" applyNumberFormat="1" applyFont="1" applyAlignment="1">
      <alignment horizontal="left" vertical="center"/>
    </xf>
  </cellXfs>
  <cellStyles count="8">
    <cellStyle name="Comma" xfId="7" builtinId="3"/>
    <cellStyle name="Currency" xfId="1" builtinId="4"/>
    <cellStyle name="Currency 2" xfId="3" xr:uid="{00000000-0005-0000-0000-000001000000}"/>
    <cellStyle name="Normal" xfId="0" builtinId="0"/>
    <cellStyle name="Normal 2" xfId="2" xr:uid="{00000000-0005-0000-0000-000003000000}"/>
    <cellStyle name="Normal 2 2" xfId="6" xr:uid="{00000000-0005-0000-0000-000004000000}"/>
    <cellStyle name="Normal 3" xfId="5" xr:uid="{00000000-0005-0000-0000-000005000000}"/>
    <cellStyle name="Percent" xfId="4" builtinId="5"/>
  </cellStyles>
  <dxfs count="0"/>
  <tableStyles count="0" defaultTableStyle="TableStyleMedium9" defaultPivotStyle="PivotStyleLight16"/>
  <colors>
    <mruColors>
      <color rgb="FFEDB323"/>
      <color rgb="FF81FFB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 </a:t>
            </a:r>
          </a:p>
        </c:rich>
      </c:tx>
      <c:layout>
        <c:manualLayout>
          <c:xMode val="edge"/>
          <c:yMode val="edge"/>
          <c:x val="0.33707013072641284"/>
          <c:y val="2.66666759988367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9974514055308301E-2"/>
          <c:y val="0.18706673213183977"/>
          <c:w val="0.88965498877857663"/>
          <c:h val="0.58213003749082681"/>
        </c:manualLayout>
      </c:layout>
      <c:lineChart>
        <c:grouping val="standard"/>
        <c:varyColors val="0"/>
        <c:ser>
          <c:idx val="0"/>
          <c:order val="0"/>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Data!$A$1840:$A$2639</c:f>
              <c:numCache>
                <c:formatCode>[$-F800]dddd\,\ mmmm\ dd\,\ yyyy</c:formatCode>
                <c:ptCount val="800"/>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45164</c:v>
                </c:pt>
                <c:pt idx="171">
                  <c:v>45165</c:v>
                </c:pt>
                <c:pt idx="172">
                  <c:v>45166</c:v>
                </c:pt>
                <c:pt idx="173">
                  <c:v>45167</c:v>
                </c:pt>
                <c:pt idx="174">
                  <c:v>45168</c:v>
                </c:pt>
                <c:pt idx="175">
                  <c:v>45169</c:v>
                </c:pt>
                <c:pt idx="176">
                  <c:v>45170</c:v>
                </c:pt>
                <c:pt idx="177">
                  <c:v>45171</c:v>
                </c:pt>
                <c:pt idx="178">
                  <c:v>45172</c:v>
                </c:pt>
                <c:pt idx="179">
                  <c:v>45173</c:v>
                </c:pt>
                <c:pt idx="180">
                  <c:v>45174</c:v>
                </c:pt>
                <c:pt idx="181">
                  <c:v>45175</c:v>
                </c:pt>
                <c:pt idx="182">
                  <c:v>45176</c:v>
                </c:pt>
                <c:pt idx="183">
                  <c:v>45177</c:v>
                </c:pt>
                <c:pt idx="184">
                  <c:v>45180</c:v>
                </c:pt>
                <c:pt idx="185">
                  <c:v>45181</c:v>
                </c:pt>
                <c:pt idx="186">
                  <c:v>45182</c:v>
                </c:pt>
                <c:pt idx="187">
                  <c:v>45183</c:v>
                </c:pt>
                <c:pt idx="188">
                  <c:v>45184</c:v>
                </c:pt>
                <c:pt idx="189">
                  <c:v>45187</c:v>
                </c:pt>
                <c:pt idx="190">
                  <c:v>45188</c:v>
                </c:pt>
                <c:pt idx="191">
                  <c:v>45189</c:v>
                </c:pt>
                <c:pt idx="192">
                  <c:v>45190</c:v>
                </c:pt>
                <c:pt idx="193">
                  <c:v>45191</c:v>
                </c:pt>
                <c:pt idx="194">
                  <c:v>45194</c:v>
                </c:pt>
                <c:pt idx="195">
                  <c:v>45195</c:v>
                </c:pt>
                <c:pt idx="196">
                  <c:v>45196</c:v>
                </c:pt>
                <c:pt idx="197">
                  <c:v>45197</c:v>
                </c:pt>
                <c:pt idx="198">
                  <c:v>45198</c:v>
                </c:pt>
                <c:pt idx="199">
                  <c:v>45201</c:v>
                </c:pt>
                <c:pt idx="200">
                  <c:v>45202</c:v>
                </c:pt>
                <c:pt idx="201">
                  <c:v>45203</c:v>
                </c:pt>
                <c:pt idx="202">
                  <c:v>45204</c:v>
                </c:pt>
                <c:pt idx="203">
                  <c:v>45205</c:v>
                </c:pt>
                <c:pt idx="204">
                  <c:v>45208</c:v>
                </c:pt>
                <c:pt idx="205">
                  <c:v>45209</c:v>
                </c:pt>
                <c:pt idx="206">
                  <c:v>45210</c:v>
                </c:pt>
                <c:pt idx="207">
                  <c:v>45211</c:v>
                </c:pt>
                <c:pt idx="208">
                  <c:v>45212</c:v>
                </c:pt>
                <c:pt idx="209">
                  <c:v>45215</c:v>
                </c:pt>
                <c:pt idx="210">
                  <c:v>45216</c:v>
                </c:pt>
                <c:pt idx="211">
                  <c:v>45217</c:v>
                </c:pt>
                <c:pt idx="212">
                  <c:v>45218</c:v>
                </c:pt>
                <c:pt idx="213">
                  <c:v>45219</c:v>
                </c:pt>
                <c:pt idx="214">
                  <c:v>45222</c:v>
                </c:pt>
                <c:pt idx="215">
                  <c:v>45223</c:v>
                </c:pt>
                <c:pt idx="216">
                  <c:v>45224</c:v>
                </c:pt>
                <c:pt idx="217">
                  <c:v>45225</c:v>
                </c:pt>
                <c:pt idx="218">
                  <c:v>45226</c:v>
                </c:pt>
                <c:pt idx="219">
                  <c:v>45229</c:v>
                </c:pt>
                <c:pt idx="220">
                  <c:v>45230</c:v>
                </c:pt>
                <c:pt idx="221">
                  <c:v>45231</c:v>
                </c:pt>
                <c:pt idx="222">
                  <c:v>45232</c:v>
                </c:pt>
                <c:pt idx="223">
                  <c:v>45233</c:v>
                </c:pt>
                <c:pt idx="224">
                  <c:v>45236</c:v>
                </c:pt>
                <c:pt idx="225">
                  <c:v>45237</c:v>
                </c:pt>
                <c:pt idx="226">
                  <c:v>45238</c:v>
                </c:pt>
                <c:pt idx="227">
                  <c:v>45239</c:v>
                </c:pt>
                <c:pt idx="228">
                  <c:v>45240</c:v>
                </c:pt>
                <c:pt idx="229">
                  <c:v>45243</c:v>
                </c:pt>
                <c:pt idx="230">
                  <c:v>45244</c:v>
                </c:pt>
                <c:pt idx="231">
                  <c:v>45245</c:v>
                </c:pt>
                <c:pt idx="232">
                  <c:v>45246</c:v>
                </c:pt>
                <c:pt idx="233">
                  <c:v>45247</c:v>
                </c:pt>
                <c:pt idx="234">
                  <c:v>45250</c:v>
                </c:pt>
                <c:pt idx="235">
                  <c:v>45251</c:v>
                </c:pt>
                <c:pt idx="236">
                  <c:v>45252</c:v>
                </c:pt>
                <c:pt idx="237">
                  <c:v>45253</c:v>
                </c:pt>
                <c:pt idx="238">
                  <c:v>45254</c:v>
                </c:pt>
                <c:pt idx="239">
                  <c:v>45257</c:v>
                </c:pt>
                <c:pt idx="240">
                  <c:v>45258</c:v>
                </c:pt>
                <c:pt idx="241">
                  <c:v>45259</c:v>
                </c:pt>
                <c:pt idx="242">
                  <c:v>45260</c:v>
                </c:pt>
                <c:pt idx="243">
                  <c:v>45261</c:v>
                </c:pt>
                <c:pt idx="244">
                  <c:v>45264</c:v>
                </c:pt>
                <c:pt idx="245">
                  <c:v>45265</c:v>
                </c:pt>
                <c:pt idx="246">
                  <c:v>45266</c:v>
                </c:pt>
                <c:pt idx="247">
                  <c:v>45267</c:v>
                </c:pt>
                <c:pt idx="248">
                  <c:v>45268</c:v>
                </c:pt>
                <c:pt idx="249">
                  <c:v>45271</c:v>
                </c:pt>
                <c:pt idx="250">
                  <c:v>45272</c:v>
                </c:pt>
                <c:pt idx="251">
                  <c:v>45273</c:v>
                </c:pt>
                <c:pt idx="252">
                  <c:v>45274</c:v>
                </c:pt>
                <c:pt idx="253">
                  <c:v>45275</c:v>
                </c:pt>
                <c:pt idx="254">
                  <c:v>45278</c:v>
                </c:pt>
                <c:pt idx="255">
                  <c:v>45279</c:v>
                </c:pt>
                <c:pt idx="256">
                  <c:v>45280</c:v>
                </c:pt>
                <c:pt idx="257">
                  <c:v>45281</c:v>
                </c:pt>
                <c:pt idx="258">
                  <c:v>45282</c:v>
                </c:pt>
                <c:pt idx="259">
                  <c:v>45285</c:v>
                </c:pt>
                <c:pt idx="260">
                  <c:v>45286</c:v>
                </c:pt>
                <c:pt idx="261">
                  <c:v>45287</c:v>
                </c:pt>
                <c:pt idx="262">
                  <c:v>45288</c:v>
                </c:pt>
                <c:pt idx="263">
                  <c:v>45289</c:v>
                </c:pt>
                <c:pt idx="264">
                  <c:v>45290</c:v>
                </c:pt>
                <c:pt idx="265">
                  <c:v>45291</c:v>
                </c:pt>
                <c:pt idx="266">
                  <c:v>45292</c:v>
                </c:pt>
                <c:pt idx="267">
                  <c:v>45293</c:v>
                </c:pt>
                <c:pt idx="268">
                  <c:v>45294</c:v>
                </c:pt>
                <c:pt idx="269">
                  <c:v>45295</c:v>
                </c:pt>
                <c:pt idx="270">
                  <c:v>45296</c:v>
                </c:pt>
                <c:pt idx="271">
                  <c:v>45299</c:v>
                </c:pt>
                <c:pt idx="272">
                  <c:v>45300</c:v>
                </c:pt>
                <c:pt idx="273">
                  <c:v>45301</c:v>
                </c:pt>
                <c:pt idx="274">
                  <c:v>45302</c:v>
                </c:pt>
                <c:pt idx="275">
                  <c:v>45303</c:v>
                </c:pt>
                <c:pt idx="276">
                  <c:v>45306</c:v>
                </c:pt>
                <c:pt idx="277">
                  <c:v>45307</c:v>
                </c:pt>
                <c:pt idx="278">
                  <c:v>45308</c:v>
                </c:pt>
                <c:pt idx="279">
                  <c:v>45309</c:v>
                </c:pt>
                <c:pt idx="280">
                  <c:v>45310</c:v>
                </c:pt>
                <c:pt idx="281">
                  <c:v>45313</c:v>
                </c:pt>
                <c:pt idx="282">
                  <c:v>45314</c:v>
                </c:pt>
                <c:pt idx="283">
                  <c:v>45315</c:v>
                </c:pt>
                <c:pt idx="284">
                  <c:v>45316</c:v>
                </c:pt>
                <c:pt idx="285">
                  <c:v>45317</c:v>
                </c:pt>
                <c:pt idx="286">
                  <c:v>45320</c:v>
                </c:pt>
                <c:pt idx="287">
                  <c:v>45321</c:v>
                </c:pt>
                <c:pt idx="288">
                  <c:v>45322</c:v>
                </c:pt>
                <c:pt idx="289">
                  <c:v>45323</c:v>
                </c:pt>
                <c:pt idx="290">
                  <c:v>45324</c:v>
                </c:pt>
                <c:pt idx="291">
                  <c:v>45327</c:v>
                </c:pt>
                <c:pt idx="292">
                  <c:v>45328</c:v>
                </c:pt>
                <c:pt idx="293">
                  <c:v>45329</c:v>
                </c:pt>
                <c:pt idx="294">
                  <c:v>45330</c:v>
                </c:pt>
                <c:pt idx="295">
                  <c:v>45331</c:v>
                </c:pt>
                <c:pt idx="296">
                  <c:v>45334</c:v>
                </c:pt>
                <c:pt idx="297">
                  <c:v>45335</c:v>
                </c:pt>
                <c:pt idx="298">
                  <c:v>45336</c:v>
                </c:pt>
                <c:pt idx="299">
                  <c:v>45337</c:v>
                </c:pt>
                <c:pt idx="300">
                  <c:v>45338</c:v>
                </c:pt>
                <c:pt idx="301">
                  <c:v>45341</c:v>
                </c:pt>
                <c:pt idx="302">
                  <c:v>45342</c:v>
                </c:pt>
                <c:pt idx="303">
                  <c:v>45343</c:v>
                </c:pt>
                <c:pt idx="304">
                  <c:v>45344</c:v>
                </c:pt>
                <c:pt idx="305">
                  <c:v>45345</c:v>
                </c:pt>
                <c:pt idx="306">
                  <c:v>45348</c:v>
                </c:pt>
                <c:pt idx="307">
                  <c:v>45349</c:v>
                </c:pt>
                <c:pt idx="308">
                  <c:v>45350</c:v>
                </c:pt>
                <c:pt idx="309">
                  <c:v>45351</c:v>
                </c:pt>
                <c:pt idx="310">
                  <c:v>45352</c:v>
                </c:pt>
                <c:pt idx="311">
                  <c:v>45355</c:v>
                </c:pt>
                <c:pt idx="312">
                  <c:v>45356</c:v>
                </c:pt>
                <c:pt idx="313">
                  <c:v>45357</c:v>
                </c:pt>
                <c:pt idx="314">
                  <c:v>45358</c:v>
                </c:pt>
                <c:pt idx="315">
                  <c:v>45359</c:v>
                </c:pt>
                <c:pt idx="316">
                  <c:v>45362</c:v>
                </c:pt>
                <c:pt idx="317">
                  <c:v>45363</c:v>
                </c:pt>
                <c:pt idx="318">
                  <c:v>45364</c:v>
                </c:pt>
                <c:pt idx="319">
                  <c:v>45365</c:v>
                </c:pt>
                <c:pt idx="320">
                  <c:v>45366</c:v>
                </c:pt>
                <c:pt idx="321">
                  <c:v>45369</c:v>
                </c:pt>
                <c:pt idx="322">
                  <c:v>45370</c:v>
                </c:pt>
                <c:pt idx="323">
                  <c:v>45371</c:v>
                </c:pt>
                <c:pt idx="324">
                  <c:v>45372</c:v>
                </c:pt>
                <c:pt idx="325">
                  <c:v>45373</c:v>
                </c:pt>
                <c:pt idx="326">
                  <c:v>45376</c:v>
                </c:pt>
                <c:pt idx="327">
                  <c:v>45377</c:v>
                </c:pt>
                <c:pt idx="328">
                  <c:v>45378</c:v>
                </c:pt>
                <c:pt idx="329">
                  <c:v>45379</c:v>
                </c:pt>
                <c:pt idx="330">
                  <c:v>45380</c:v>
                </c:pt>
                <c:pt idx="331">
                  <c:v>45383</c:v>
                </c:pt>
                <c:pt idx="332">
                  <c:v>45384</c:v>
                </c:pt>
                <c:pt idx="333">
                  <c:v>45385</c:v>
                </c:pt>
                <c:pt idx="334">
                  <c:v>45386</c:v>
                </c:pt>
                <c:pt idx="335">
                  <c:v>45387</c:v>
                </c:pt>
                <c:pt idx="336">
                  <c:v>45390</c:v>
                </c:pt>
                <c:pt idx="337">
                  <c:v>45391</c:v>
                </c:pt>
                <c:pt idx="338">
                  <c:v>45392</c:v>
                </c:pt>
                <c:pt idx="339">
                  <c:v>45393</c:v>
                </c:pt>
                <c:pt idx="340">
                  <c:v>45394</c:v>
                </c:pt>
                <c:pt idx="341">
                  <c:v>45397</c:v>
                </c:pt>
                <c:pt idx="342">
                  <c:v>45398</c:v>
                </c:pt>
                <c:pt idx="343">
                  <c:v>45399</c:v>
                </c:pt>
                <c:pt idx="344">
                  <c:v>45400</c:v>
                </c:pt>
                <c:pt idx="345">
                  <c:v>45401</c:v>
                </c:pt>
                <c:pt idx="346">
                  <c:v>45404</c:v>
                </c:pt>
                <c:pt idx="347">
                  <c:v>45405</c:v>
                </c:pt>
                <c:pt idx="348">
                  <c:v>45406</c:v>
                </c:pt>
                <c:pt idx="349">
                  <c:v>45407</c:v>
                </c:pt>
                <c:pt idx="350">
                  <c:v>45408</c:v>
                </c:pt>
                <c:pt idx="351">
                  <c:v>45411</c:v>
                </c:pt>
                <c:pt idx="352">
                  <c:v>45412</c:v>
                </c:pt>
                <c:pt idx="353">
                  <c:v>45413</c:v>
                </c:pt>
                <c:pt idx="354">
                  <c:v>45414</c:v>
                </c:pt>
                <c:pt idx="355">
                  <c:v>45415</c:v>
                </c:pt>
                <c:pt idx="356">
                  <c:v>45418</c:v>
                </c:pt>
                <c:pt idx="357">
                  <c:v>45419</c:v>
                </c:pt>
                <c:pt idx="358">
                  <c:v>45420</c:v>
                </c:pt>
                <c:pt idx="359">
                  <c:v>45421</c:v>
                </c:pt>
                <c:pt idx="360">
                  <c:v>45422</c:v>
                </c:pt>
                <c:pt idx="361">
                  <c:v>45425</c:v>
                </c:pt>
                <c:pt idx="362">
                  <c:v>45426</c:v>
                </c:pt>
                <c:pt idx="363">
                  <c:v>45427</c:v>
                </c:pt>
                <c:pt idx="364">
                  <c:v>45428</c:v>
                </c:pt>
                <c:pt idx="365">
                  <c:v>45429</c:v>
                </c:pt>
                <c:pt idx="366">
                  <c:v>45432</c:v>
                </c:pt>
                <c:pt idx="367">
                  <c:v>45433</c:v>
                </c:pt>
                <c:pt idx="368">
                  <c:v>45434</c:v>
                </c:pt>
                <c:pt idx="369">
                  <c:v>45435</c:v>
                </c:pt>
                <c:pt idx="370">
                  <c:v>45436</c:v>
                </c:pt>
                <c:pt idx="371">
                  <c:v>45439</c:v>
                </c:pt>
                <c:pt idx="372">
                  <c:v>45440</c:v>
                </c:pt>
                <c:pt idx="373">
                  <c:v>45441</c:v>
                </c:pt>
                <c:pt idx="374">
                  <c:v>45442</c:v>
                </c:pt>
                <c:pt idx="375">
                  <c:v>45443</c:v>
                </c:pt>
                <c:pt idx="376">
                  <c:v>45446</c:v>
                </c:pt>
                <c:pt idx="377">
                  <c:v>45447</c:v>
                </c:pt>
                <c:pt idx="378">
                  <c:v>45448</c:v>
                </c:pt>
                <c:pt idx="379">
                  <c:v>45449</c:v>
                </c:pt>
                <c:pt idx="380">
                  <c:v>45450</c:v>
                </c:pt>
                <c:pt idx="381">
                  <c:v>45453</c:v>
                </c:pt>
                <c:pt idx="382">
                  <c:v>45454</c:v>
                </c:pt>
                <c:pt idx="383">
                  <c:v>45455</c:v>
                </c:pt>
                <c:pt idx="384">
                  <c:v>45456</c:v>
                </c:pt>
                <c:pt idx="385">
                  <c:v>45457</c:v>
                </c:pt>
                <c:pt idx="386">
                  <c:v>45460</c:v>
                </c:pt>
                <c:pt idx="387">
                  <c:v>45461</c:v>
                </c:pt>
                <c:pt idx="388">
                  <c:v>45462</c:v>
                </c:pt>
                <c:pt idx="389">
                  <c:v>45463</c:v>
                </c:pt>
                <c:pt idx="390">
                  <c:v>45464</c:v>
                </c:pt>
                <c:pt idx="391">
                  <c:v>45467</c:v>
                </c:pt>
                <c:pt idx="392">
                  <c:v>45468</c:v>
                </c:pt>
                <c:pt idx="393">
                  <c:v>45469</c:v>
                </c:pt>
                <c:pt idx="394">
                  <c:v>45470</c:v>
                </c:pt>
                <c:pt idx="395">
                  <c:v>45471</c:v>
                </c:pt>
                <c:pt idx="396">
                  <c:v>45474</c:v>
                </c:pt>
                <c:pt idx="397">
                  <c:v>45475</c:v>
                </c:pt>
                <c:pt idx="398">
                  <c:v>45476</c:v>
                </c:pt>
                <c:pt idx="399">
                  <c:v>45477</c:v>
                </c:pt>
                <c:pt idx="400">
                  <c:v>45478</c:v>
                </c:pt>
                <c:pt idx="401">
                  <c:v>45481</c:v>
                </c:pt>
                <c:pt idx="402">
                  <c:v>45482</c:v>
                </c:pt>
                <c:pt idx="403">
                  <c:v>45483</c:v>
                </c:pt>
                <c:pt idx="404">
                  <c:v>45484</c:v>
                </c:pt>
                <c:pt idx="405">
                  <c:v>45485</c:v>
                </c:pt>
                <c:pt idx="406">
                  <c:v>45488</c:v>
                </c:pt>
                <c:pt idx="407">
                  <c:v>45489</c:v>
                </c:pt>
                <c:pt idx="408">
                  <c:v>45490</c:v>
                </c:pt>
                <c:pt idx="409">
                  <c:v>45491</c:v>
                </c:pt>
                <c:pt idx="410">
                  <c:v>45492</c:v>
                </c:pt>
                <c:pt idx="411">
                  <c:v>45495</c:v>
                </c:pt>
                <c:pt idx="412">
                  <c:v>45496</c:v>
                </c:pt>
                <c:pt idx="413">
                  <c:v>45497</c:v>
                </c:pt>
                <c:pt idx="414">
                  <c:v>45498</c:v>
                </c:pt>
                <c:pt idx="415">
                  <c:v>45499</c:v>
                </c:pt>
                <c:pt idx="416">
                  <c:v>45502</c:v>
                </c:pt>
                <c:pt idx="417">
                  <c:v>45503</c:v>
                </c:pt>
                <c:pt idx="418">
                  <c:v>45504</c:v>
                </c:pt>
                <c:pt idx="419">
                  <c:v>45505</c:v>
                </c:pt>
                <c:pt idx="420">
                  <c:v>45506</c:v>
                </c:pt>
                <c:pt idx="421">
                  <c:v>45509</c:v>
                </c:pt>
                <c:pt idx="422">
                  <c:v>45510</c:v>
                </c:pt>
                <c:pt idx="423">
                  <c:v>45511</c:v>
                </c:pt>
                <c:pt idx="424">
                  <c:v>45512</c:v>
                </c:pt>
                <c:pt idx="425">
                  <c:v>45513</c:v>
                </c:pt>
                <c:pt idx="426">
                  <c:v>45516</c:v>
                </c:pt>
                <c:pt idx="427">
                  <c:v>45517</c:v>
                </c:pt>
                <c:pt idx="428">
                  <c:v>45518</c:v>
                </c:pt>
                <c:pt idx="429">
                  <c:v>45519</c:v>
                </c:pt>
                <c:pt idx="430">
                  <c:v>45520</c:v>
                </c:pt>
                <c:pt idx="431">
                  <c:v>45523</c:v>
                </c:pt>
                <c:pt idx="432">
                  <c:v>45524</c:v>
                </c:pt>
                <c:pt idx="433">
                  <c:v>45525</c:v>
                </c:pt>
                <c:pt idx="434">
                  <c:v>45526</c:v>
                </c:pt>
                <c:pt idx="435">
                  <c:v>45527</c:v>
                </c:pt>
                <c:pt idx="436">
                  <c:v>45530</c:v>
                </c:pt>
                <c:pt idx="437">
                  <c:v>45531</c:v>
                </c:pt>
                <c:pt idx="438">
                  <c:v>45532</c:v>
                </c:pt>
                <c:pt idx="439">
                  <c:v>45533</c:v>
                </c:pt>
                <c:pt idx="440">
                  <c:v>45534</c:v>
                </c:pt>
                <c:pt idx="441">
                  <c:v>45537</c:v>
                </c:pt>
                <c:pt idx="442">
                  <c:v>45538</c:v>
                </c:pt>
                <c:pt idx="443">
                  <c:v>45539</c:v>
                </c:pt>
                <c:pt idx="444">
                  <c:v>45540</c:v>
                </c:pt>
                <c:pt idx="445">
                  <c:v>45541</c:v>
                </c:pt>
                <c:pt idx="446">
                  <c:v>45544</c:v>
                </c:pt>
                <c:pt idx="447">
                  <c:v>45545</c:v>
                </c:pt>
                <c:pt idx="448">
                  <c:v>45546</c:v>
                </c:pt>
                <c:pt idx="449">
                  <c:v>45547</c:v>
                </c:pt>
                <c:pt idx="450">
                  <c:v>45548</c:v>
                </c:pt>
                <c:pt idx="451">
                  <c:v>45551</c:v>
                </c:pt>
                <c:pt idx="452">
                  <c:v>45552</c:v>
                </c:pt>
                <c:pt idx="453">
                  <c:v>45553</c:v>
                </c:pt>
                <c:pt idx="454">
                  <c:v>45554</c:v>
                </c:pt>
                <c:pt idx="455">
                  <c:v>45555</c:v>
                </c:pt>
                <c:pt idx="456">
                  <c:v>45558</c:v>
                </c:pt>
                <c:pt idx="457">
                  <c:v>45559</c:v>
                </c:pt>
                <c:pt idx="458">
                  <c:v>45560</c:v>
                </c:pt>
                <c:pt idx="459">
                  <c:v>45560</c:v>
                </c:pt>
                <c:pt idx="460">
                  <c:v>45560</c:v>
                </c:pt>
                <c:pt idx="461">
                  <c:v>45560</c:v>
                </c:pt>
                <c:pt idx="462">
                  <c:v>45561</c:v>
                </c:pt>
                <c:pt idx="463">
                  <c:v>45561</c:v>
                </c:pt>
                <c:pt idx="464">
                  <c:v>45561</c:v>
                </c:pt>
                <c:pt idx="465">
                  <c:v>45562</c:v>
                </c:pt>
                <c:pt idx="466">
                  <c:v>45562</c:v>
                </c:pt>
                <c:pt idx="467">
                  <c:v>45562</c:v>
                </c:pt>
                <c:pt idx="468">
                  <c:v>45562</c:v>
                </c:pt>
                <c:pt idx="469">
                  <c:v>45562</c:v>
                </c:pt>
                <c:pt idx="470">
                  <c:v>45562</c:v>
                </c:pt>
                <c:pt idx="471">
                  <c:v>45562</c:v>
                </c:pt>
                <c:pt idx="472">
                  <c:v>45568</c:v>
                </c:pt>
                <c:pt idx="473">
                  <c:v>45568</c:v>
                </c:pt>
                <c:pt idx="474">
                  <c:v>45568</c:v>
                </c:pt>
                <c:pt idx="475">
                  <c:v>45568</c:v>
                </c:pt>
                <c:pt idx="476">
                  <c:v>45568</c:v>
                </c:pt>
                <c:pt idx="477">
                  <c:v>45568</c:v>
                </c:pt>
                <c:pt idx="478">
                  <c:v>45568</c:v>
                </c:pt>
                <c:pt idx="479">
                  <c:v>45568</c:v>
                </c:pt>
                <c:pt idx="480">
                  <c:v>45568</c:v>
                </c:pt>
                <c:pt idx="481">
                  <c:v>45568</c:v>
                </c:pt>
                <c:pt idx="482">
                  <c:v>45568</c:v>
                </c:pt>
                <c:pt idx="483">
                  <c:v>45568</c:v>
                </c:pt>
                <c:pt idx="484">
                  <c:v>45568</c:v>
                </c:pt>
                <c:pt idx="485">
                  <c:v>45568</c:v>
                </c:pt>
                <c:pt idx="486">
                  <c:v>45568</c:v>
                </c:pt>
                <c:pt idx="487">
                  <c:v>45568</c:v>
                </c:pt>
                <c:pt idx="488">
                  <c:v>45568</c:v>
                </c:pt>
                <c:pt idx="489">
                  <c:v>45568</c:v>
                </c:pt>
                <c:pt idx="490">
                  <c:v>45568</c:v>
                </c:pt>
                <c:pt idx="491">
                  <c:v>45569</c:v>
                </c:pt>
                <c:pt idx="492">
                  <c:v>45572</c:v>
                </c:pt>
                <c:pt idx="493">
                  <c:v>45572</c:v>
                </c:pt>
                <c:pt idx="494">
                  <c:v>45572</c:v>
                </c:pt>
                <c:pt idx="495">
                  <c:v>45572</c:v>
                </c:pt>
                <c:pt idx="496">
                  <c:v>45574</c:v>
                </c:pt>
                <c:pt idx="497">
                  <c:v>45575</c:v>
                </c:pt>
                <c:pt idx="498">
                  <c:v>45575</c:v>
                </c:pt>
                <c:pt idx="499">
                  <c:v>45575</c:v>
                </c:pt>
                <c:pt idx="500">
                  <c:v>45575</c:v>
                </c:pt>
                <c:pt idx="501">
                  <c:v>45575</c:v>
                </c:pt>
                <c:pt idx="502">
                  <c:v>45575</c:v>
                </c:pt>
                <c:pt idx="503">
                  <c:v>45575</c:v>
                </c:pt>
                <c:pt idx="504">
                  <c:v>45575</c:v>
                </c:pt>
                <c:pt idx="505">
                  <c:v>45575</c:v>
                </c:pt>
                <c:pt idx="506">
                  <c:v>45576</c:v>
                </c:pt>
                <c:pt idx="507">
                  <c:v>45576</c:v>
                </c:pt>
                <c:pt idx="508">
                  <c:v>45580</c:v>
                </c:pt>
                <c:pt idx="509">
                  <c:v>45580</c:v>
                </c:pt>
                <c:pt idx="510">
                  <c:v>45581</c:v>
                </c:pt>
                <c:pt idx="511">
                  <c:v>45581</c:v>
                </c:pt>
                <c:pt idx="512">
                  <c:v>45582</c:v>
                </c:pt>
                <c:pt idx="513">
                  <c:v>45582</c:v>
                </c:pt>
                <c:pt idx="514">
                  <c:v>45582</c:v>
                </c:pt>
                <c:pt idx="515">
                  <c:v>45582</c:v>
                </c:pt>
                <c:pt idx="516">
                  <c:v>45582</c:v>
                </c:pt>
                <c:pt idx="517">
                  <c:v>45582</c:v>
                </c:pt>
                <c:pt idx="518">
                  <c:v>45582</c:v>
                </c:pt>
                <c:pt idx="519">
                  <c:v>45582</c:v>
                </c:pt>
                <c:pt idx="520">
                  <c:v>45583</c:v>
                </c:pt>
                <c:pt idx="521">
                  <c:v>45583</c:v>
                </c:pt>
                <c:pt idx="522">
                  <c:v>45583</c:v>
                </c:pt>
                <c:pt idx="523">
                  <c:v>45583</c:v>
                </c:pt>
                <c:pt idx="524">
                  <c:v>45583</c:v>
                </c:pt>
                <c:pt idx="525">
                  <c:v>45583</c:v>
                </c:pt>
                <c:pt idx="526">
                  <c:v>45583</c:v>
                </c:pt>
                <c:pt idx="527">
                  <c:v>45583</c:v>
                </c:pt>
                <c:pt idx="528">
                  <c:v>45583</c:v>
                </c:pt>
                <c:pt idx="529">
                  <c:v>45583</c:v>
                </c:pt>
                <c:pt idx="530">
                  <c:v>45586</c:v>
                </c:pt>
                <c:pt idx="531">
                  <c:v>45586</c:v>
                </c:pt>
                <c:pt idx="532">
                  <c:v>45587</c:v>
                </c:pt>
                <c:pt idx="533">
                  <c:v>45589</c:v>
                </c:pt>
                <c:pt idx="534">
                  <c:v>45589</c:v>
                </c:pt>
                <c:pt idx="535">
                  <c:v>45589</c:v>
                </c:pt>
                <c:pt idx="536">
                  <c:v>45589</c:v>
                </c:pt>
                <c:pt idx="537">
                  <c:v>45589</c:v>
                </c:pt>
                <c:pt idx="538">
                  <c:v>45589</c:v>
                </c:pt>
                <c:pt idx="539">
                  <c:v>45589</c:v>
                </c:pt>
                <c:pt idx="540">
                  <c:v>45589</c:v>
                </c:pt>
                <c:pt idx="541">
                  <c:v>45589</c:v>
                </c:pt>
                <c:pt idx="542">
                  <c:v>45589</c:v>
                </c:pt>
                <c:pt idx="543">
                  <c:v>45589</c:v>
                </c:pt>
                <c:pt idx="544">
                  <c:v>45589</c:v>
                </c:pt>
                <c:pt idx="545">
                  <c:v>45590</c:v>
                </c:pt>
                <c:pt idx="546">
                  <c:v>45593</c:v>
                </c:pt>
                <c:pt idx="547">
                  <c:v>45593</c:v>
                </c:pt>
                <c:pt idx="548">
                  <c:v>45594</c:v>
                </c:pt>
                <c:pt idx="549">
                  <c:v>45594</c:v>
                </c:pt>
                <c:pt idx="550">
                  <c:v>45595</c:v>
                </c:pt>
                <c:pt idx="551">
                  <c:v>45596</c:v>
                </c:pt>
                <c:pt idx="552">
                  <c:v>45597</c:v>
                </c:pt>
                <c:pt idx="553">
                  <c:v>45601</c:v>
                </c:pt>
                <c:pt idx="554">
                  <c:v>45601</c:v>
                </c:pt>
                <c:pt idx="555">
                  <c:v>45602</c:v>
                </c:pt>
                <c:pt idx="556">
                  <c:v>45603</c:v>
                </c:pt>
                <c:pt idx="557">
                  <c:v>45603</c:v>
                </c:pt>
                <c:pt idx="558">
                  <c:v>45603</c:v>
                </c:pt>
                <c:pt idx="559">
                  <c:v>45603</c:v>
                </c:pt>
                <c:pt idx="560">
                  <c:v>45603</c:v>
                </c:pt>
                <c:pt idx="561">
                  <c:v>45603</c:v>
                </c:pt>
                <c:pt idx="562">
                  <c:v>45603</c:v>
                </c:pt>
                <c:pt idx="563">
                  <c:v>45603</c:v>
                </c:pt>
                <c:pt idx="564">
                  <c:v>45603</c:v>
                </c:pt>
                <c:pt idx="565">
                  <c:v>45603</c:v>
                </c:pt>
                <c:pt idx="566">
                  <c:v>45603</c:v>
                </c:pt>
                <c:pt idx="567">
                  <c:v>45603</c:v>
                </c:pt>
                <c:pt idx="568">
                  <c:v>45603</c:v>
                </c:pt>
                <c:pt idx="569">
                  <c:v>45603</c:v>
                </c:pt>
                <c:pt idx="570">
                  <c:v>45603</c:v>
                </c:pt>
                <c:pt idx="571">
                  <c:v>45603</c:v>
                </c:pt>
                <c:pt idx="572">
                  <c:v>45603</c:v>
                </c:pt>
                <c:pt idx="573">
                  <c:v>45603</c:v>
                </c:pt>
                <c:pt idx="574">
                  <c:v>45603</c:v>
                </c:pt>
                <c:pt idx="575">
                  <c:v>45604</c:v>
                </c:pt>
                <c:pt idx="576">
                  <c:v>45604</c:v>
                </c:pt>
                <c:pt idx="577">
                  <c:v>45608</c:v>
                </c:pt>
                <c:pt idx="578">
                  <c:v>45608</c:v>
                </c:pt>
                <c:pt idx="579">
                  <c:v>45608</c:v>
                </c:pt>
                <c:pt idx="580">
                  <c:v>45610</c:v>
                </c:pt>
                <c:pt idx="581">
                  <c:v>45610</c:v>
                </c:pt>
                <c:pt idx="582">
                  <c:v>45610</c:v>
                </c:pt>
                <c:pt idx="583">
                  <c:v>45610</c:v>
                </c:pt>
                <c:pt idx="584">
                  <c:v>45610</c:v>
                </c:pt>
                <c:pt idx="585">
                  <c:v>45610</c:v>
                </c:pt>
                <c:pt idx="586">
                  <c:v>45610</c:v>
                </c:pt>
                <c:pt idx="587">
                  <c:v>45610</c:v>
                </c:pt>
                <c:pt idx="588">
                  <c:v>45610</c:v>
                </c:pt>
                <c:pt idx="589">
                  <c:v>45610</c:v>
                </c:pt>
                <c:pt idx="590">
                  <c:v>45611</c:v>
                </c:pt>
                <c:pt idx="591">
                  <c:v>45611</c:v>
                </c:pt>
                <c:pt idx="592">
                  <c:v>45611</c:v>
                </c:pt>
                <c:pt idx="593">
                  <c:v>45611</c:v>
                </c:pt>
                <c:pt idx="594">
                  <c:v>45615</c:v>
                </c:pt>
                <c:pt idx="595">
                  <c:v>45615</c:v>
                </c:pt>
                <c:pt idx="596">
                  <c:v>45616</c:v>
                </c:pt>
                <c:pt idx="597">
                  <c:v>45616</c:v>
                </c:pt>
                <c:pt idx="598">
                  <c:v>45616</c:v>
                </c:pt>
                <c:pt idx="599">
                  <c:v>45616</c:v>
                </c:pt>
                <c:pt idx="600">
                  <c:v>45616</c:v>
                </c:pt>
                <c:pt idx="601">
                  <c:v>45616</c:v>
                </c:pt>
                <c:pt idx="602">
                  <c:v>45616</c:v>
                </c:pt>
                <c:pt idx="603">
                  <c:v>45616</c:v>
                </c:pt>
                <c:pt idx="604">
                  <c:v>45616</c:v>
                </c:pt>
                <c:pt idx="605">
                  <c:v>45616</c:v>
                </c:pt>
                <c:pt idx="606">
                  <c:v>45616</c:v>
                </c:pt>
                <c:pt idx="607">
                  <c:v>45616</c:v>
                </c:pt>
                <c:pt idx="608">
                  <c:v>45617</c:v>
                </c:pt>
                <c:pt idx="609">
                  <c:v>45618</c:v>
                </c:pt>
                <c:pt idx="610">
                  <c:v>45618</c:v>
                </c:pt>
                <c:pt idx="611">
                  <c:v>45618</c:v>
                </c:pt>
                <c:pt idx="612">
                  <c:v>45622</c:v>
                </c:pt>
                <c:pt idx="613">
                  <c:v>45623</c:v>
                </c:pt>
                <c:pt idx="614">
                  <c:v>45625</c:v>
                </c:pt>
                <c:pt idx="615">
                  <c:v>45628</c:v>
                </c:pt>
                <c:pt idx="616">
                  <c:v>45629</c:v>
                </c:pt>
                <c:pt idx="617">
                  <c:v>45629</c:v>
                </c:pt>
                <c:pt idx="618">
                  <c:v>45629</c:v>
                </c:pt>
                <c:pt idx="619">
                  <c:v>45631</c:v>
                </c:pt>
                <c:pt idx="620">
                  <c:v>45631</c:v>
                </c:pt>
                <c:pt idx="621">
                  <c:v>45631</c:v>
                </c:pt>
                <c:pt idx="622">
                  <c:v>45631</c:v>
                </c:pt>
                <c:pt idx="623">
                  <c:v>45631</c:v>
                </c:pt>
                <c:pt idx="624">
                  <c:v>45631</c:v>
                </c:pt>
                <c:pt idx="625">
                  <c:v>45631</c:v>
                </c:pt>
                <c:pt idx="626">
                  <c:v>45631</c:v>
                </c:pt>
                <c:pt idx="627">
                  <c:v>45631</c:v>
                </c:pt>
                <c:pt idx="628">
                  <c:v>45631</c:v>
                </c:pt>
                <c:pt idx="629">
                  <c:v>45631</c:v>
                </c:pt>
                <c:pt idx="630">
                  <c:v>45631</c:v>
                </c:pt>
                <c:pt idx="631">
                  <c:v>45631</c:v>
                </c:pt>
                <c:pt idx="632">
                  <c:v>45631</c:v>
                </c:pt>
                <c:pt idx="633">
                  <c:v>45631</c:v>
                </c:pt>
                <c:pt idx="634">
                  <c:v>45631</c:v>
                </c:pt>
                <c:pt idx="635">
                  <c:v>45632</c:v>
                </c:pt>
                <c:pt idx="636">
                  <c:v>45632</c:v>
                </c:pt>
                <c:pt idx="637">
                  <c:v>45635</c:v>
                </c:pt>
                <c:pt idx="638">
                  <c:v>45636</c:v>
                </c:pt>
                <c:pt idx="639">
                  <c:v>45637</c:v>
                </c:pt>
                <c:pt idx="640">
                  <c:v>45638</c:v>
                </c:pt>
                <c:pt idx="641">
                  <c:v>45638</c:v>
                </c:pt>
                <c:pt idx="642">
                  <c:v>45638</c:v>
                </c:pt>
                <c:pt idx="643">
                  <c:v>45638</c:v>
                </c:pt>
                <c:pt idx="644">
                  <c:v>45638</c:v>
                </c:pt>
                <c:pt idx="645">
                  <c:v>45638</c:v>
                </c:pt>
                <c:pt idx="646">
                  <c:v>45638</c:v>
                </c:pt>
                <c:pt idx="647">
                  <c:v>45638</c:v>
                </c:pt>
                <c:pt idx="648">
                  <c:v>45638</c:v>
                </c:pt>
                <c:pt idx="649">
                  <c:v>45638</c:v>
                </c:pt>
                <c:pt idx="650">
                  <c:v>45638</c:v>
                </c:pt>
                <c:pt idx="651">
                  <c:v>45639</c:v>
                </c:pt>
                <c:pt idx="652">
                  <c:v>45642</c:v>
                </c:pt>
                <c:pt idx="653">
                  <c:v>45644</c:v>
                </c:pt>
                <c:pt idx="654">
                  <c:v>45644</c:v>
                </c:pt>
                <c:pt idx="655">
                  <c:v>45644</c:v>
                </c:pt>
                <c:pt idx="656">
                  <c:v>45644</c:v>
                </c:pt>
                <c:pt idx="657">
                  <c:v>45644</c:v>
                </c:pt>
                <c:pt idx="658">
                  <c:v>45644</c:v>
                </c:pt>
                <c:pt idx="659">
                  <c:v>45644</c:v>
                </c:pt>
                <c:pt idx="660">
                  <c:v>45644</c:v>
                </c:pt>
                <c:pt idx="661">
                  <c:v>45644</c:v>
                </c:pt>
                <c:pt idx="662">
                  <c:v>45644</c:v>
                </c:pt>
                <c:pt idx="663">
                  <c:v>45645</c:v>
                </c:pt>
                <c:pt idx="664">
                  <c:v>45646</c:v>
                </c:pt>
                <c:pt idx="665">
                  <c:v>45649</c:v>
                </c:pt>
                <c:pt idx="666">
                  <c:v>45649</c:v>
                </c:pt>
                <c:pt idx="667">
                  <c:v>45649</c:v>
                </c:pt>
                <c:pt idx="668">
                  <c:v>45652</c:v>
                </c:pt>
                <c:pt idx="669">
                  <c:v>45652</c:v>
                </c:pt>
                <c:pt idx="670">
                  <c:v>45652</c:v>
                </c:pt>
                <c:pt idx="671">
                  <c:v>45652</c:v>
                </c:pt>
                <c:pt idx="672">
                  <c:v>45653</c:v>
                </c:pt>
                <c:pt idx="673">
                  <c:v>45653</c:v>
                </c:pt>
                <c:pt idx="674">
                  <c:v>45653</c:v>
                </c:pt>
                <c:pt idx="675">
                  <c:v>45653</c:v>
                </c:pt>
                <c:pt idx="676">
                  <c:v>45653</c:v>
                </c:pt>
                <c:pt idx="677">
                  <c:v>45653</c:v>
                </c:pt>
                <c:pt idx="678">
                  <c:v>45653</c:v>
                </c:pt>
                <c:pt idx="679">
                  <c:v>45653</c:v>
                </c:pt>
                <c:pt idx="680">
                  <c:v>45653</c:v>
                </c:pt>
                <c:pt idx="681">
                  <c:v>45656</c:v>
                </c:pt>
                <c:pt idx="682">
                  <c:v>45657</c:v>
                </c:pt>
                <c:pt idx="683" formatCode="mm/dd/yyyy">
                  <c:v>45659</c:v>
                </c:pt>
                <c:pt idx="684" formatCode="mm/dd/yyyy">
                  <c:v>45663</c:v>
                </c:pt>
                <c:pt idx="685" formatCode="mm/dd/yyyy">
                  <c:v>45664</c:v>
                </c:pt>
                <c:pt idx="686" formatCode="mm/dd/yyyy">
                  <c:v>45665</c:v>
                </c:pt>
                <c:pt idx="687" formatCode="mm/dd/yyyy">
                  <c:v>45671</c:v>
                </c:pt>
                <c:pt idx="688" formatCode="mm/dd/yyyy">
                  <c:v>45672</c:v>
                </c:pt>
                <c:pt idx="689" formatCode="mm/dd/yyyy">
                  <c:v>45672</c:v>
                </c:pt>
                <c:pt idx="690" formatCode="mm/dd/yyyy">
                  <c:v>45672</c:v>
                </c:pt>
                <c:pt idx="691" formatCode="mm/dd/yyyy">
                  <c:v>45672</c:v>
                </c:pt>
                <c:pt idx="692" formatCode="mm/dd/yyyy">
                  <c:v>45673</c:v>
                </c:pt>
                <c:pt idx="693" formatCode="mm/dd/yyyy">
                  <c:v>45673</c:v>
                </c:pt>
                <c:pt idx="694" formatCode="mm/dd/yyyy">
                  <c:v>45673</c:v>
                </c:pt>
                <c:pt idx="695" formatCode="mm/dd/yyyy">
                  <c:v>45673</c:v>
                </c:pt>
                <c:pt idx="696" formatCode="mm/dd/yyyy">
                  <c:v>45673</c:v>
                </c:pt>
                <c:pt idx="697" formatCode="mm/dd/yyyy">
                  <c:v>45673</c:v>
                </c:pt>
                <c:pt idx="698" formatCode="mm/dd/yyyy">
                  <c:v>45673</c:v>
                </c:pt>
                <c:pt idx="699" formatCode="mm/dd/yyyy">
                  <c:v>45673</c:v>
                </c:pt>
                <c:pt idx="700" formatCode="mm/dd/yyyy">
                  <c:v>45673</c:v>
                </c:pt>
                <c:pt idx="701" formatCode="mm/dd/yyyy">
                  <c:v>45673</c:v>
                </c:pt>
                <c:pt idx="702" formatCode="mm/dd/yyyy">
                  <c:v>45673</c:v>
                </c:pt>
                <c:pt idx="703" formatCode="mm/dd/yyyy">
                  <c:v>45673</c:v>
                </c:pt>
                <c:pt idx="704" formatCode="mm/dd/yyyy">
                  <c:v>45673</c:v>
                </c:pt>
                <c:pt idx="705" formatCode="mm/dd/yyyy">
                  <c:v>45673</c:v>
                </c:pt>
                <c:pt idx="706" formatCode="mm/dd/yyyy">
                  <c:v>45673</c:v>
                </c:pt>
                <c:pt idx="707" formatCode="mm/dd/yyyy">
                  <c:v>45673</c:v>
                </c:pt>
                <c:pt idx="708" formatCode="mm/dd/yyyy">
                  <c:v>45674</c:v>
                </c:pt>
                <c:pt idx="709" formatCode="mm/dd/yyyy">
                  <c:v>45678</c:v>
                </c:pt>
                <c:pt idx="710" formatCode="mm/dd/yyyy">
                  <c:v>45678</c:v>
                </c:pt>
                <c:pt idx="711" formatCode="mm/dd/yyyy">
                  <c:v>45678</c:v>
                </c:pt>
                <c:pt idx="712" formatCode="mm/dd/yyyy">
                  <c:v>45678</c:v>
                </c:pt>
                <c:pt idx="713" formatCode="mm/dd/yyyy">
                  <c:v>45679</c:v>
                </c:pt>
                <c:pt idx="714" formatCode="mm/dd/yyyy">
                  <c:v>45679</c:v>
                </c:pt>
                <c:pt idx="715" formatCode="mm/dd/yyyy">
                  <c:v>45679</c:v>
                </c:pt>
                <c:pt idx="716" formatCode="mm/dd/yyyy">
                  <c:v>45680</c:v>
                </c:pt>
                <c:pt idx="717" formatCode="mm/dd/yyyy">
                  <c:v>45684</c:v>
                </c:pt>
                <c:pt idx="718" formatCode="mm/dd/yyyy">
                  <c:v>45685</c:v>
                </c:pt>
                <c:pt idx="719" formatCode="mm/dd/yyyy">
                  <c:v>45685</c:v>
                </c:pt>
                <c:pt idx="720" formatCode="mm/dd/yyyy">
                  <c:v>45686</c:v>
                </c:pt>
                <c:pt idx="721" formatCode="mm/dd/yyyy">
                  <c:v>45686</c:v>
                </c:pt>
                <c:pt idx="722" formatCode="mm/dd/yyyy">
                  <c:v>45686</c:v>
                </c:pt>
                <c:pt idx="723" formatCode="mm/dd/yyyy">
                  <c:v>45686</c:v>
                </c:pt>
                <c:pt idx="724" formatCode="mm/dd/yyyy">
                  <c:v>45687</c:v>
                </c:pt>
                <c:pt idx="725" formatCode="mm/dd/yyyy">
                  <c:v>45688</c:v>
                </c:pt>
                <c:pt idx="726" formatCode="mm/dd/yyyy">
                  <c:v>45688</c:v>
                </c:pt>
                <c:pt idx="727" formatCode="mm/dd/yyyy">
                  <c:v>45691</c:v>
                </c:pt>
                <c:pt idx="728" formatCode="mm/dd/yyyy">
                  <c:v>45691</c:v>
                </c:pt>
                <c:pt idx="729" formatCode="mm/dd/yyyy">
                  <c:v>45694</c:v>
                </c:pt>
                <c:pt idx="730" formatCode="mm/dd/yyyy">
                  <c:v>45694</c:v>
                </c:pt>
                <c:pt idx="731" formatCode="mm/dd/yyyy">
                  <c:v>45694</c:v>
                </c:pt>
                <c:pt idx="732" formatCode="mm/dd/yyyy">
                  <c:v>45694</c:v>
                </c:pt>
                <c:pt idx="733" formatCode="mm/dd/yyyy">
                  <c:v>45694</c:v>
                </c:pt>
                <c:pt idx="734" formatCode="mm/dd/yyyy">
                  <c:v>45694</c:v>
                </c:pt>
                <c:pt idx="735" formatCode="mm/dd/yyyy">
                  <c:v>45694</c:v>
                </c:pt>
                <c:pt idx="736" formatCode="mm/dd/yyyy">
                  <c:v>45694</c:v>
                </c:pt>
                <c:pt idx="737" formatCode="mm/dd/yyyy">
                  <c:v>45694</c:v>
                </c:pt>
                <c:pt idx="738" formatCode="mm/dd/yyyy">
                  <c:v>45694</c:v>
                </c:pt>
                <c:pt idx="739" formatCode="mm/dd/yyyy">
                  <c:v>45694</c:v>
                </c:pt>
                <c:pt idx="740" formatCode="mm/dd/yyyy">
                  <c:v>45694</c:v>
                </c:pt>
                <c:pt idx="741" formatCode="mm/dd/yyyy">
                  <c:v>45694</c:v>
                </c:pt>
                <c:pt idx="742" formatCode="mm/dd/yyyy">
                  <c:v>45694</c:v>
                </c:pt>
                <c:pt idx="743" formatCode="mm/dd/yyyy">
                  <c:v>45694</c:v>
                </c:pt>
                <c:pt idx="744" formatCode="mm/dd/yyyy">
                  <c:v>45694</c:v>
                </c:pt>
                <c:pt idx="745" formatCode="mm/dd/yyyy">
                  <c:v>45694</c:v>
                </c:pt>
                <c:pt idx="746" formatCode="mm/dd/yyyy">
                  <c:v>45694</c:v>
                </c:pt>
                <c:pt idx="747" formatCode="mm/dd/yyyy">
                  <c:v>45694</c:v>
                </c:pt>
                <c:pt idx="748" formatCode="mm/dd/yyyy">
                  <c:v>45695</c:v>
                </c:pt>
                <c:pt idx="749" formatCode="mm/dd/yyyy">
                  <c:v>45695</c:v>
                </c:pt>
                <c:pt idx="750" formatCode="mm/dd/yyyy">
                  <c:v>45699</c:v>
                </c:pt>
                <c:pt idx="751" formatCode="mm/dd/yyyy">
                  <c:v>45700</c:v>
                </c:pt>
                <c:pt idx="752" formatCode="mm/dd/yyyy">
                  <c:v>45701</c:v>
                </c:pt>
                <c:pt idx="753" formatCode="mm/dd/yyyy">
                  <c:v>45701</c:v>
                </c:pt>
                <c:pt idx="754" formatCode="mm/dd/yyyy">
                  <c:v>45701</c:v>
                </c:pt>
                <c:pt idx="755" formatCode="mm/dd/yyyy">
                  <c:v>45701</c:v>
                </c:pt>
                <c:pt idx="756" formatCode="mm/dd/yyyy">
                  <c:v>45701</c:v>
                </c:pt>
                <c:pt idx="757" formatCode="mm/dd/yyyy">
                  <c:v>45701</c:v>
                </c:pt>
                <c:pt idx="758" formatCode="mm/dd/yyyy">
                  <c:v>45701</c:v>
                </c:pt>
                <c:pt idx="759" formatCode="mm/dd/yyyy">
                  <c:v>45701</c:v>
                </c:pt>
                <c:pt idx="760" formatCode="mm/dd/yyyy">
                  <c:v>45701</c:v>
                </c:pt>
                <c:pt idx="761" formatCode="mm/dd/yyyy">
                  <c:v>45701</c:v>
                </c:pt>
                <c:pt idx="762" formatCode="mm/dd/yyyy">
                  <c:v>45701</c:v>
                </c:pt>
                <c:pt idx="763" formatCode="mm/dd/yyyy">
                  <c:v>45701</c:v>
                </c:pt>
                <c:pt idx="764" formatCode="mm/dd/yyyy">
                  <c:v>45702</c:v>
                </c:pt>
                <c:pt idx="765" formatCode="mm/dd/yyyy">
                  <c:v>45706</c:v>
                </c:pt>
                <c:pt idx="766" formatCode="mm/dd/yyyy">
                  <c:v>45708</c:v>
                </c:pt>
                <c:pt idx="767" formatCode="mm/dd/yyyy">
                  <c:v>45708</c:v>
                </c:pt>
                <c:pt idx="768" formatCode="mm/dd/yyyy">
                  <c:v>45709</c:v>
                </c:pt>
                <c:pt idx="769" formatCode="mm/dd/yyyy">
                  <c:v>45709</c:v>
                </c:pt>
                <c:pt idx="770" formatCode="mm/dd/yyyy">
                  <c:v>45709</c:v>
                </c:pt>
                <c:pt idx="771" formatCode="mm/dd/yyyy">
                  <c:v>45709</c:v>
                </c:pt>
                <c:pt idx="772" formatCode="mm/dd/yyyy">
                  <c:v>45709</c:v>
                </c:pt>
                <c:pt idx="773" formatCode="mm/dd/yyyy">
                  <c:v>45709</c:v>
                </c:pt>
                <c:pt idx="774" formatCode="mm/dd/yyyy">
                  <c:v>45709</c:v>
                </c:pt>
                <c:pt idx="775" formatCode="mm/dd/yyyy">
                  <c:v>45709</c:v>
                </c:pt>
                <c:pt idx="776" formatCode="mm/dd/yyyy">
                  <c:v>45709</c:v>
                </c:pt>
                <c:pt idx="777" formatCode="mm/dd/yyyy">
                  <c:v>45709</c:v>
                </c:pt>
                <c:pt idx="778" formatCode="mm/dd/yyyy">
                  <c:v>45709</c:v>
                </c:pt>
                <c:pt idx="779" formatCode="mm/dd/yyyy">
                  <c:v>45709</c:v>
                </c:pt>
                <c:pt idx="780" formatCode="mm/dd/yyyy">
                  <c:v>45709</c:v>
                </c:pt>
                <c:pt idx="781" formatCode="mm/dd/yyyy">
                  <c:v>45709</c:v>
                </c:pt>
                <c:pt idx="782" formatCode="mm/dd/yyyy">
                  <c:v>45709</c:v>
                </c:pt>
                <c:pt idx="783" formatCode="mm/dd/yyyy">
                  <c:v>45709</c:v>
                </c:pt>
                <c:pt idx="784" formatCode="mm/dd/yyyy">
                  <c:v>45709</c:v>
                </c:pt>
                <c:pt idx="785" formatCode="mm/dd/yyyy">
                  <c:v>45712</c:v>
                </c:pt>
                <c:pt idx="786" formatCode="mm/dd/yyyy">
                  <c:v>45712</c:v>
                </c:pt>
                <c:pt idx="787" formatCode="mm/dd/yyyy">
                  <c:v>45713</c:v>
                </c:pt>
                <c:pt idx="788" formatCode="mm/dd/yyyy">
                  <c:v>45713</c:v>
                </c:pt>
                <c:pt idx="789" formatCode="mm/dd/yyyy">
                  <c:v>45714</c:v>
                </c:pt>
                <c:pt idx="790" formatCode="mm/dd/yyyy">
                  <c:v>45714</c:v>
                </c:pt>
                <c:pt idx="791" formatCode="mm/dd/yyyy">
                  <c:v>45715</c:v>
                </c:pt>
                <c:pt idx="792" formatCode="mm/dd/yyyy">
                  <c:v>45715</c:v>
                </c:pt>
                <c:pt idx="793" formatCode="mm/dd/yyyy">
                  <c:v>45715</c:v>
                </c:pt>
                <c:pt idx="794" formatCode="mm/dd/yyyy">
                  <c:v>45715</c:v>
                </c:pt>
                <c:pt idx="795" formatCode="mm/dd/yyyy">
                  <c:v>45715</c:v>
                </c:pt>
                <c:pt idx="796" formatCode="mm/dd/yyyy">
                  <c:v>45715</c:v>
                </c:pt>
                <c:pt idx="797" formatCode="mm/dd/yyyy">
                  <c:v>45715</c:v>
                </c:pt>
                <c:pt idx="798" formatCode="mm/dd/yyyy">
                  <c:v>45715</c:v>
                </c:pt>
                <c:pt idx="799">
                  <c:v>45716</c:v>
                </c:pt>
              </c:numCache>
            </c:numRef>
          </c:cat>
          <c:val>
            <c:numRef>
              <c:f>Data!$B$1840:$B$2639</c:f>
              <c:numCache>
                <c:formatCode>#,##0_);[Red]\(#,##0\)</c:formatCode>
                <c:ptCount val="800"/>
                <c:pt idx="0">
                  <c:v>432698.4</c:v>
                </c:pt>
                <c:pt idx="1">
                  <c:v>432648.4</c:v>
                </c:pt>
                <c:pt idx="2">
                  <c:v>432648.4</c:v>
                </c:pt>
                <c:pt idx="3">
                  <c:v>376288.8</c:v>
                </c:pt>
                <c:pt idx="4">
                  <c:v>375846.51</c:v>
                </c:pt>
                <c:pt idx="5">
                  <c:v>375246.51</c:v>
                </c:pt>
                <c:pt idx="6">
                  <c:v>375703.51</c:v>
                </c:pt>
                <c:pt idx="7">
                  <c:v>375837.32</c:v>
                </c:pt>
                <c:pt idx="8">
                  <c:v>358313.37</c:v>
                </c:pt>
                <c:pt idx="9">
                  <c:v>362655.36</c:v>
                </c:pt>
                <c:pt idx="10">
                  <c:v>362655.36</c:v>
                </c:pt>
                <c:pt idx="11">
                  <c:v>296234.34999999998</c:v>
                </c:pt>
                <c:pt idx="12">
                  <c:v>309641.15000000002</c:v>
                </c:pt>
                <c:pt idx="13">
                  <c:v>316446.05</c:v>
                </c:pt>
                <c:pt idx="14">
                  <c:v>315066.78000000003</c:v>
                </c:pt>
                <c:pt idx="15">
                  <c:v>314907.93</c:v>
                </c:pt>
                <c:pt idx="16">
                  <c:v>314907.93</c:v>
                </c:pt>
                <c:pt idx="17">
                  <c:v>314907.93</c:v>
                </c:pt>
                <c:pt idx="18">
                  <c:v>315650.68</c:v>
                </c:pt>
                <c:pt idx="19">
                  <c:v>291355.65000000002</c:v>
                </c:pt>
                <c:pt idx="20">
                  <c:v>270294.52</c:v>
                </c:pt>
                <c:pt idx="21">
                  <c:v>269684.28999999998</c:v>
                </c:pt>
                <c:pt idx="22">
                  <c:v>269684.28999999998</c:v>
                </c:pt>
                <c:pt idx="23">
                  <c:v>259972.42</c:v>
                </c:pt>
                <c:pt idx="24">
                  <c:v>282694.13</c:v>
                </c:pt>
                <c:pt idx="25">
                  <c:v>282636.44</c:v>
                </c:pt>
                <c:pt idx="26">
                  <c:v>298296.44</c:v>
                </c:pt>
                <c:pt idx="27">
                  <c:v>298259.44</c:v>
                </c:pt>
                <c:pt idx="28">
                  <c:v>286670.99</c:v>
                </c:pt>
                <c:pt idx="29">
                  <c:v>329121.65000000002</c:v>
                </c:pt>
                <c:pt idx="30">
                  <c:v>287265.95</c:v>
                </c:pt>
                <c:pt idx="31">
                  <c:v>291765.95</c:v>
                </c:pt>
                <c:pt idx="32">
                  <c:v>291800.28000000003</c:v>
                </c:pt>
                <c:pt idx="33">
                  <c:v>298342.23</c:v>
                </c:pt>
                <c:pt idx="34">
                  <c:v>292633.62</c:v>
                </c:pt>
                <c:pt idx="35">
                  <c:v>292633.62</c:v>
                </c:pt>
                <c:pt idx="36">
                  <c:v>320810.26</c:v>
                </c:pt>
                <c:pt idx="37">
                  <c:v>320810.26</c:v>
                </c:pt>
                <c:pt idx="38">
                  <c:v>341705.89</c:v>
                </c:pt>
                <c:pt idx="39">
                  <c:v>341754.4</c:v>
                </c:pt>
                <c:pt idx="40">
                  <c:v>330670.37</c:v>
                </c:pt>
                <c:pt idx="41">
                  <c:v>338045.7</c:v>
                </c:pt>
                <c:pt idx="42">
                  <c:v>338604.7</c:v>
                </c:pt>
                <c:pt idx="43">
                  <c:v>329491.15000000002</c:v>
                </c:pt>
                <c:pt idx="44">
                  <c:v>329106.55</c:v>
                </c:pt>
                <c:pt idx="45">
                  <c:v>329106.55</c:v>
                </c:pt>
                <c:pt idx="46">
                  <c:v>366692.56</c:v>
                </c:pt>
                <c:pt idx="47">
                  <c:v>368956.85</c:v>
                </c:pt>
                <c:pt idx="48">
                  <c:v>390880.67</c:v>
                </c:pt>
                <c:pt idx="49">
                  <c:v>414120.74</c:v>
                </c:pt>
                <c:pt idx="50">
                  <c:v>424130.52</c:v>
                </c:pt>
                <c:pt idx="51">
                  <c:v>424130.52</c:v>
                </c:pt>
                <c:pt idx="52">
                  <c:v>424163.34</c:v>
                </c:pt>
                <c:pt idx="53">
                  <c:v>422350.37</c:v>
                </c:pt>
                <c:pt idx="54">
                  <c:v>421965.77</c:v>
                </c:pt>
                <c:pt idx="55">
                  <c:v>419047.88</c:v>
                </c:pt>
                <c:pt idx="56">
                  <c:v>425165.2</c:v>
                </c:pt>
                <c:pt idx="57">
                  <c:v>415468.61</c:v>
                </c:pt>
                <c:pt idx="58">
                  <c:v>444345.89</c:v>
                </c:pt>
                <c:pt idx="59">
                  <c:v>444345.89</c:v>
                </c:pt>
                <c:pt idx="60">
                  <c:v>472758.17</c:v>
                </c:pt>
                <c:pt idx="61">
                  <c:v>431931.97</c:v>
                </c:pt>
                <c:pt idx="62">
                  <c:v>435079.42</c:v>
                </c:pt>
                <c:pt idx="63">
                  <c:v>424040.9</c:v>
                </c:pt>
                <c:pt idx="64">
                  <c:v>449683.31</c:v>
                </c:pt>
                <c:pt idx="65">
                  <c:v>449683.31</c:v>
                </c:pt>
                <c:pt idx="66">
                  <c:v>449683.31</c:v>
                </c:pt>
                <c:pt idx="67">
                  <c:v>449683.31</c:v>
                </c:pt>
                <c:pt idx="68">
                  <c:v>425038.75</c:v>
                </c:pt>
                <c:pt idx="69">
                  <c:v>425038.75</c:v>
                </c:pt>
                <c:pt idx="70">
                  <c:v>381899.02</c:v>
                </c:pt>
                <c:pt idx="71">
                  <c:v>403291.29</c:v>
                </c:pt>
                <c:pt idx="72">
                  <c:v>398523.39</c:v>
                </c:pt>
                <c:pt idx="73">
                  <c:v>405256.29</c:v>
                </c:pt>
                <c:pt idx="74">
                  <c:v>404915.18</c:v>
                </c:pt>
                <c:pt idx="75">
                  <c:v>403828.39</c:v>
                </c:pt>
                <c:pt idx="76">
                  <c:v>403828.39</c:v>
                </c:pt>
                <c:pt idx="77">
                  <c:v>434721.04</c:v>
                </c:pt>
                <c:pt idx="78">
                  <c:v>421127.98</c:v>
                </c:pt>
                <c:pt idx="79">
                  <c:v>420969.13</c:v>
                </c:pt>
                <c:pt idx="80">
                  <c:v>420969.13</c:v>
                </c:pt>
                <c:pt idx="81">
                  <c:v>379345</c:v>
                </c:pt>
                <c:pt idx="82">
                  <c:v>379345</c:v>
                </c:pt>
                <c:pt idx="83">
                  <c:v>379345</c:v>
                </c:pt>
                <c:pt idx="84">
                  <c:v>402733.09</c:v>
                </c:pt>
                <c:pt idx="85">
                  <c:v>403316.09</c:v>
                </c:pt>
                <c:pt idx="86">
                  <c:v>403316.09</c:v>
                </c:pt>
                <c:pt idx="87">
                  <c:v>385876.12</c:v>
                </c:pt>
                <c:pt idx="88">
                  <c:v>351812.45</c:v>
                </c:pt>
                <c:pt idx="89">
                  <c:v>351812.45</c:v>
                </c:pt>
                <c:pt idx="90">
                  <c:v>368195.43</c:v>
                </c:pt>
                <c:pt idx="91">
                  <c:v>368195.43</c:v>
                </c:pt>
                <c:pt idx="92">
                  <c:v>368195.43</c:v>
                </c:pt>
                <c:pt idx="93">
                  <c:v>368195.43</c:v>
                </c:pt>
                <c:pt idx="94">
                  <c:v>367810.83</c:v>
                </c:pt>
                <c:pt idx="95">
                  <c:v>367851.39</c:v>
                </c:pt>
                <c:pt idx="96">
                  <c:v>367851.39</c:v>
                </c:pt>
                <c:pt idx="97">
                  <c:v>367851.39</c:v>
                </c:pt>
                <c:pt idx="98">
                  <c:v>356642.57</c:v>
                </c:pt>
                <c:pt idx="99">
                  <c:v>356642.57</c:v>
                </c:pt>
                <c:pt idx="100">
                  <c:v>308974.21000000002</c:v>
                </c:pt>
                <c:pt idx="101">
                  <c:v>338753.05</c:v>
                </c:pt>
                <c:pt idx="102">
                  <c:v>391263.14</c:v>
                </c:pt>
                <c:pt idx="103">
                  <c:v>391263.14</c:v>
                </c:pt>
                <c:pt idx="104">
                  <c:v>449119.47</c:v>
                </c:pt>
                <c:pt idx="105">
                  <c:v>449119.47</c:v>
                </c:pt>
                <c:pt idx="106">
                  <c:v>448869.47</c:v>
                </c:pt>
                <c:pt idx="107">
                  <c:v>448869.47</c:v>
                </c:pt>
                <c:pt idx="108">
                  <c:v>438853.17</c:v>
                </c:pt>
                <c:pt idx="109">
                  <c:v>439117.17</c:v>
                </c:pt>
                <c:pt idx="110">
                  <c:v>407163.47</c:v>
                </c:pt>
                <c:pt idx="111">
                  <c:v>415855.1</c:v>
                </c:pt>
                <c:pt idx="112">
                  <c:v>415855.1</c:v>
                </c:pt>
                <c:pt idx="113">
                  <c:v>412361.18</c:v>
                </c:pt>
                <c:pt idx="114">
                  <c:v>411976.58</c:v>
                </c:pt>
                <c:pt idx="115">
                  <c:v>412491.58</c:v>
                </c:pt>
                <c:pt idx="116">
                  <c:v>412491.58</c:v>
                </c:pt>
                <c:pt idx="117">
                  <c:v>412491.58</c:v>
                </c:pt>
                <c:pt idx="118">
                  <c:v>421884.75</c:v>
                </c:pt>
                <c:pt idx="119">
                  <c:v>421884.75</c:v>
                </c:pt>
                <c:pt idx="120">
                  <c:v>422030.75</c:v>
                </c:pt>
                <c:pt idx="121">
                  <c:v>384440.18</c:v>
                </c:pt>
                <c:pt idx="122">
                  <c:v>383701.41</c:v>
                </c:pt>
                <c:pt idx="123">
                  <c:v>384859.49</c:v>
                </c:pt>
                <c:pt idx="124">
                  <c:v>412308.62</c:v>
                </c:pt>
                <c:pt idx="125">
                  <c:v>412308.62</c:v>
                </c:pt>
                <c:pt idx="126">
                  <c:v>412282.92</c:v>
                </c:pt>
                <c:pt idx="127">
                  <c:v>402422.58</c:v>
                </c:pt>
                <c:pt idx="128">
                  <c:v>402266.7</c:v>
                </c:pt>
                <c:pt idx="129">
                  <c:v>407981.99</c:v>
                </c:pt>
                <c:pt idx="130">
                  <c:v>373219.37</c:v>
                </c:pt>
                <c:pt idx="131">
                  <c:v>373219.37</c:v>
                </c:pt>
                <c:pt idx="132">
                  <c:v>373219.37</c:v>
                </c:pt>
                <c:pt idx="133">
                  <c:v>376696.27</c:v>
                </c:pt>
                <c:pt idx="134">
                  <c:v>376906.67</c:v>
                </c:pt>
                <c:pt idx="135">
                  <c:v>377111.67</c:v>
                </c:pt>
                <c:pt idx="136">
                  <c:v>378617.91</c:v>
                </c:pt>
                <c:pt idx="137">
                  <c:v>378999.91</c:v>
                </c:pt>
                <c:pt idx="138">
                  <c:v>399013.52</c:v>
                </c:pt>
                <c:pt idx="139">
                  <c:v>399052</c:v>
                </c:pt>
                <c:pt idx="140">
                  <c:v>398802</c:v>
                </c:pt>
                <c:pt idx="141">
                  <c:v>415884.95</c:v>
                </c:pt>
                <c:pt idx="142">
                  <c:v>416084.95</c:v>
                </c:pt>
                <c:pt idx="143">
                  <c:v>409180.98</c:v>
                </c:pt>
                <c:pt idx="144">
                  <c:v>411006.01</c:v>
                </c:pt>
                <c:pt idx="145">
                  <c:v>411445.54</c:v>
                </c:pt>
                <c:pt idx="146">
                  <c:v>412425.15</c:v>
                </c:pt>
                <c:pt idx="147">
                  <c:v>412425.15</c:v>
                </c:pt>
                <c:pt idx="148">
                  <c:v>387088.04</c:v>
                </c:pt>
                <c:pt idx="149">
                  <c:v>405857.22</c:v>
                </c:pt>
                <c:pt idx="150">
                  <c:v>404076.54</c:v>
                </c:pt>
                <c:pt idx="151">
                  <c:v>390920.58</c:v>
                </c:pt>
                <c:pt idx="152">
                  <c:v>390920.58</c:v>
                </c:pt>
                <c:pt idx="153">
                  <c:v>386738.53</c:v>
                </c:pt>
                <c:pt idx="154">
                  <c:v>384493.66</c:v>
                </c:pt>
                <c:pt idx="155">
                  <c:v>385493.66</c:v>
                </c:pt>
                <c:pt idx="156">
                  <c:v>385493.66</c:v>
                </c:pt>
                <c:pt idx="157">
                  <c:v>385493.66</c:v>
                </c:pt>
                <c:pt idx="158">
                  <c:v>385493.66</c:v>
                </c:pt>
                <c:pt idx="159">
                  <c:v>386021.66</c:v>
                </c:pt>
                <c:pt idx="160">
                  <c:v>406742.83</c:v>
                </c:pt>
                <c:pt idx="161">
                  <c:v>370565.1</c:v>
                </c:pt>
                <c:pt idx="162">
                  <c:v>370565.1</c:v>
                </c:pt>
                <c:pt idx="163">
                  <c:v>396789.54</c:v>
                </c:pt>
                <c:pt idx="164">
                  <c:v>396404.94</c:v>
                </c:pt>
                <c:pt idx="165">
                  <c:v>394335.05</c:v>
                </c:pt>
                <c:pt idx="166">
                  <c:v>394335.05</c:v>
                </c:pt>
                <c:pt idx="167">
                  <c:v>394359.06</c:v>
                </c:pt>
                <c:pt idx="168">
                  <c:v>388296.14</c:v>
                </c:pt>
                <c:pt idx="169">
                  <c:v>388621.14</c:v>
                </c:pt>
                <c:pt idx="170">
                  <c:v>388621.14</c:v>
                </c:pt>
                <c:pt idx="171">
                  <c:v>388621.14</c:v>
                </c:pt>
                <c:pt idx="172">
                  <c:v>350982.96</c:v>
                </c:pt>
                <c:pt idx="173">
                  <c:v>451232.96</c:v>
                </c:pt>
                <c:pt idx="174">
                  <c:v>499724.02</c:v>
                </c:pt>
                <c:pt idx="175">
                  <c:v>519129.97</c:v>
                </c:pt>
                <c:pt idx="176">
                  <c:v>494825.52</c:v>
                </c:pt>
                <c:pt idx="177">
                  <c:v>494825.52</c:v>
                </c:pt>
                <c:pt idx="178">
                  <c:v>494825.52</c:v>
                </c:pt>
                <c:pt idx="179">
                  <c:v>494825.52</c:v>
                </c:pt>
                <c:pt idx="180">
                  <c:v>494875.52</c:v>
                </c:pt>
                <c:pt idx="181">
                  <c:v>492868.56</c:v>
                </c:pt>
                <c:pt idx="182">
                  <c:v>492868.56</c:v>
                </c:pt>
                <c:pt idx="183">
                  <c:v>492868.56</c:v>
                </c:pt>
                <c:pt idx="184">
                  <c:v>494218.56</c:v>
                </c:pt>
                <c:pt idx="185">
                  <c:v>452326.96</c:v>
                </c:pt>
                <c:pt idx="186">
                  <c:v>475248.53</c:v>
                </c:pt>
                <c:pt idx="187">
                  <c:v>485579.7</c:v>
                </c:pt>
                <c:pt idx="188">
                  <c:v>483237.86</c:v>
                </c:pt>
                <c:pt idx="189">
                  <c:v>482174.8</c:v>
                </c:pt>
                <c:pt idx="190">
                  <c:v>482199.8</c:v>
                </c:pt>
                <c:pt idx="191">
                  <c:v>479406.91</c:v>
                </c:pt>
                <c:pt idx="192">
                  <c:v>470500.67</c:v>
                </c:pt>
                <c:pt idx="193">
                  <c:v>472716.17</c:v>
                </c:pt>
                <c:pt idx="194">
                  <c:v>433269.34</c:v>
                </c:pt>
                <c:pt idx="195">
                  <c:v>433243.64</c:v>
                </c:pt>
                <c:pt idx="196">
                  <c:v>469337.63</c:v>
                </c:pt>
                <c:pt idx="197">
                  <c:v>469337.63</c:v>
                </c:pt>
                <c:pt idx="198">
                  <c:v>468953.03</c:v>
                </c:pt>
                <c:pt idx="199">
                  <c:v>459905.29</c:v>
                </c:pt>
                <c:pt idx="200">
                  <c:v>459905.29</c:v>
                </c:pt>
                <c:pt idx="201">
                  <c:v>459905.29</c:v>
                </c:pt>
                <c:pt idx="202">
                  <c:v>459905.29</c:v>
                </c:pt>
                <c:pt idx="203">
                  <c:v>459905.29</c:v>
                </c:pt>
                <c:pt idx="204">
                  <c:v>459905.29</c:v>
                </c:pt>
                <c:pt idx="205">
                  <c:v>423446.93</c:v>
                </c:pt>
                <c:pt idx="206">
                  <c:v>423446.93</c:v>
                </c:pt>
                <c:pt idx="207">
                  <c:v>407711.69</c:v>
                </c:pt>
                <c:pt idx="208">
                  <c:v>407733.05</c:v>
                </c:pt>
                <c:pt idx="209">
                  <c:v>409787.27</c:v>
                </c:pt>
                <c:pt idx="210">
                  <c:v>409787.27</c:v>
                </c:pt>
                <c:pt idx="211">
                  <c:v>410017.27</c:v>
                </c:pt>
                <c:pt idx="212">
                  <c:v>418625.7</c:v>
                </c:pt>
                <c:pt idx="213">
                  <c:v>418550.7</c:v>
                </c:pt>
                <c:pt idx="214">
                  <c:v>381523.11</c:v>
                </c:pt>
                <c:pt idx="215">
                  <c:v>381523.11</c:v>
                </c:pt>
                <c:pt idx="216">
                  <c:v>381523.11</c:v>
                </c:pt>
                <c:pt idx="217">
                  <c:v>381909.52</c:v>
                </c:pt>
                <c:pt idx="218">
                  <c:v>381524.92</c:v>
                </c:pt>
                <c:pt idx="219">
                  <c:v>381524.92</c:v>
                </c:pt>
                <c:pt idx="220">
                  <c:v>403601.43</c:v>
                </c:pt>
                <c:pt idx="221">
                  <c:v>403601.43</c:v>
                </c:pt>
                <c:pt idx="222">
                  <c:v>388696.73</c:v>
                </c:pt>
                <c:pt idx="223">
                  <c:v>388696.73</c:v>
                </c:pt>
                <c:pt idx="224">
                  <c:v>354074.98</c:v>
                </c:pt>
                <c:pt idx="225">
                  <c:v>354074.98</c:v>
                </c:pt>
                <c:pt idx="226">
                  <c:v>412115.27</c:v>
                </c:pt>
                <c:pt idx="227">
                  <c:v>421170.44</c:v>
                </c:pt>
                <c:pt idx="228">
                  <c:v>443466.68</c:v>
                </c:pt>
                <c:pt idx="229">
                  <c:v>443466.68</c:v>
                </c:pt>
                <c:pt idx="230">
                  <c:v>443467.28</c:v>
                </c:pt>
                <c:pt idx="231">
                  <c:v>467133.83</c:v>
                </c:pt>
                <c:pt idx="232">
                  <c:v>457231.63</c:v>
                </c:pt>
                <c:pt idx="233">
                  <c:v>457180.17</c:v>
                </c:pt>
                <c:pt idx="234">
                  <c:v>413685.69</c:v>
                </c:pt>
                <c:pt idx="235">
                  <c:v>413685.69</c:v>
                </c:pt>
                <c:pt idx="236">
                  <c:v>414169.69</c:v>
                </c:pt>
                <c:pt idx="237">
                  <c:v>414169.69</c:v>
                </c:pt>
                <c:pt idx="238">
                  <c:v>413785.09</c:v>
                </c:pt>
                <c:pt idx="239">
                  <c:v>413785.09</c:v>
                </c:pt>
                <c:pt idx="240">
                  <c:v>413647.44</c:v>
                </c:pt>
                <c:pt idx="241">
                  <c:v>413647.44</c:v>
                </c:pt>
                <c:pt idx="242">
                  <c:v>456909.26</c:v>
                </c:pt>
                <c:pt idx="243">
                  <c:v>456909.26</c:v>
                </c:pt>
                <c:pt idx="244">
                  <c:v>420452.25</c:v>
                </c:pt>
                <c:pt idx="245">
                  <c:v>420452.25</c:v>
                </c:pt>
                <c:pt idx="246">
                  <c:v>545432.25</c:v>
                </c:pt>
                <c:pt idx="247">
                  <c:v>545590.84</c:v>
                </c:pt>
                <c:pt idx="248">
                  <c:v>525679.43000000005</c:v>
                </c:pt>
                <c:pt idx="249">
                  <c:v>545765.34</c:v>
                </c:pt>
                <c:pt idx="250">
                  <c:v>546390.34</c:v>
                </c:pt>
                <c:pt idx="251">
                  <c:v>546489.65</c:v>
                </c:pt>
                <c:pt idx="252">
                  <c:v>540866.25</c:v>
                </c:pt>
                <c:pt idx="253">
                  <c:v>540913.56000000006</c:v>
                </c:pt>
                <c:pt idx="254">
                  <c:v>533274.25</c:v>
                </c:pt>
                <c:pt idx="255">
                  <c:v>618886.13</c:v>
                </c:pt>
                <c:pt idx="256">
                  <c:v>614102.62</c:v>
                </c:pt>
                <c:pt idx="257">
                  <c:v>624405.25</c:v>
                </c:pt>
                <c:pt idx="258">
                  <c:v>626377.68000000005</c:v>
                </c:pt>
                <c:pt idx="259">
                  <c:v>626377.68000000005</c:v>
                </c:pt>
                <c:pt idx="260">
                  <c:v>643671.14</c:v>
                </c:pt>
                <c:pt idx="261">
                  <c:v>644766.57999999996</c:v>
                </c:pt>
                <c:pt idx="262">
                  <c:v>638881.80000000005</c:v>
                </c:pt>
                <c:pt idx="263">
                  <c:v>661874.81999999995</c:v>
                </c:pt>
                <c:pt idx="264">
                  <c:v>661874.81999999995</c:v>
                </c:pt>
                <c:pt idx="265">
                  <c:v>661874.81999999995</c:v>
                </c:pt>
                <c:pt idx="266">
                  <c:v>661874.81999999995</c:v>
                </c:pt>
                <c:pt idx="267">
                  <c:v>612116.59</c:v>
                </c:pt>
                <c:pt idx="268">
                  <c:v>611802.93999999994</c:v>
                </c:pt>
                <c:pt idx="269">
                  <c:v>611802.93999999994</c:v>
                </c:pt>
                <c:pt idx="270">
                  <c:v>611802.93999999994</c:v>
                </c:pt>
                <c:pt idx="271">
                  <c:v>597286.13</c:v>
                </c:pt>
                <c:pt idx="272">
                  <c:v>597286.13</c:v>
                </c:pt>
                <c:pt idx="273">
                  <c:v>597286.13</c:v>
                </c:pt>
                <c:pt idx="274">
                  <c:v>608030.19999999995</c:v>
                </c:pt>
                <c:pt idx="275">
                  <c:v>608078.04</c:v>
                </c:pt>
                <c:pt idx="276">
                  <c:v>608078.04</c:v>
                </c:pt>
                <c:pt idx="277">
                  <c:v>586838.57999999996</c:v>
                </c:pt>
                <c:pt idx="278">
                  <c:v>582760.27</c:v>
                </c:pt>
                <c:pt idx="279">
                  <c:v>591268.14</c:v>
                </c:pt>
                <c:pt idx="280">
                  <c:v>606839.55000000005</c:v>
                </c:pt>
                <c:pt idx="281">
                  <c:v>594580.53</c:v>
                </c:pt>
                <c:pt idx="282">
                  <c:v>593705.04</c:v>
                </c:pt>
                <c:pt idx="283">
                  <c:v>593705.04</c:v>
                </c:pt>
                <c:pt idx="284">
                  <c:v>587304.93000000005</c:v>
                </c:pt>
                <c:pt idx="285">
                  <c:v>587269.94999999995</c:v>
                </c:pt>
                <c:pt idx="286">
                  <c:v>586679.74</c:v>
                </c:pt>
                <c:pt idx="287">
                  <c:v>553504.59</c:v>
                </c:pt>
                <c:pt idx="288">
                  <c:v>553504.59</c:v>
                </c:pt>
                <c:pt idx="289">
                  <c:v>553504.59</c:v>
                </c:pt>
                <c:pt idx="290">
                  <c:v>592925.96</c:v>
                </c:pt>
                <c:pt idx="291">
                  <c:v>579325.18999999994</c:v>
                </c:pt>
                <c:pt idx="292">
                  <c:v>579515.18999999994</c:v>
                </c:pt>
                <c:pt idx="293">
                  <c:v>580657.82999999996</c:v>
                </c:pt>
                <c:pt idx="294">
                  <c:v>579328.14</c:v>
                </c:pt>
                <c:pt idx="295">
                  <c:v>579328.14</c:v>
                </c:pt>
                <c:pt idx="296">
                  <c:v>543891.63</c:v>
                </c:pt>
                <c:pt idx="297">
                  <c:v>543891.63</c:v>
                </c:pt>
                <c:pt idx="298">
                  <c:v>579929.61</c:v>
                </c:pt>
                <c:pt idx="299">
                  <c:v>566140.77</c:v>
                </c:pt>
                <c:pt idx="300">
                  <c:v>566424.71</c:v>
                </c:pt>
                <c:pt idx="301">
                  <c:v>566424.71</c:v>
                </c:pt>
                <c:pt idx="302">
                  <c:v>585835.32999999996</c:v>
                </c:pt>
                <c:pt idx="303">
                  <c:v>585835.32999999996</c:v>
                </c:pt>
                <c:pt idx="304">
                  <c:v>587749.09</c:v>
                </c:pt>
                <c:pt idx="305">
                  <c:v>587703.09</c:v>
                </c:pt>
                <c:pt idx="306">
                  <c:v>553831.01</c:v>
                </c:pt>
                <c:pt idx="307">
                  <c:v>553831.01</c:v>
                </c:pt>
                <c:pt idx="308">
                  <c:v>553831.01</c:v>
                </c:pt>
                <c:pt idx="309">
                  <c:v>553927.51</c:v>
                </c:pt>
                <c:pt idx="310">
                  <c:v>639044.65</c:v>
                </c:pt>
                <c:pt idx="311">
                  <c:v>639286.35</c:v>
                </c:pt>
                <c:pt idx="312">
                  <c:v>639286.35</c:v>
                </c:pt>
                <c:pt idx="313">
                  <c:v>639286.35</c:v>
                </c:pt>
                <c:pt idx="314">
                  <c:v>616931.9</c:v>
                </c:pt>
                <c:pt idx="315">
                  <c:v>616931.9</c:v>
                </c:pt>
                <c:pt idx="316">
                  <c:v>616931.9</c:v>
                </c:pt>
                <c:pt idx="317">
                  <c:v>580620.53</c:v>
                </c:pt>
                <c:pt idx="318">
                  <c:v>589303.47</c:v>
                </c:pt>
                <c:pt idx="319">
                  <c:v>573439.49</c:v>
                </c:pt>
                <c:pt idx="320">
                  <c:v>573173.1</c:v>
                </c:pt>
                <c:pt idx="321">
                  <c:v>597404.67000000004</c:v>
                </c:pt>
                <c:pt idx="322">
                  <c:v>597454.31999999995</c:v>
                </c:pt>
                <c:pt idx="323">
                  <c:v>594610.32999999996</c:v>
                </c:pt>
                <c:pt idx="324">
                  <c:v>599459.89</c:v>
                </c:pt>
                <c:pt idx="325">
                  <c:v>621376.56999999995</c:v>
                </c:pt>
                <c:pt idx="326">
                  <c:v>639731.09</c:v>
                </c:pt>
                <c:pt idx="327">
                  <c:v>603296.46</c:v>
                </c:pt>
                <c:pt idx="328">
                  <c:v>602128.03</c:v>
                </c:pt>
                <c:pt idx="329">
                  <c:v>610877.03</c:v>
                </c:pt>
                <c:pt idx="330">
                  <c:v>629664.21</c:v>
                </c:pt>
                <c:pt idx="331">
                  <c:v>629664.21</c:v>
                </c:pt>
                <c:pt idx="332">
                  <c:v>629664.21</c:v>
                </c:pt>
                <c:pt idx="333">
                  <c:v>629904.21</c:v>
                </c:pt>
                <c:pt idx="334">
                  <c:v>629904.21</c:v>
                </c:pt>
                <c:pt idx="335">
                  <c:v>630020.39</c:v>
                </c:pt>
                <c:pt idx="336">
                  <c:v>630714.61</c:v>
                </c:pt>
                <c:pt idx="337">
                  <c:v>573875.92000000004</c:v>
                </c:pt>
                <c:pt idx="338">
                  <c:v>590385.61</c:v>
                </c:pt>
                <c:pt idx="339">
                  <c:v>590798.61</c:v>
                </c:pt>
                <c:pt idx="340">
                  <c:v>590447.57999999996</c:v>
                </c:pt>
                <c:pt idx="341">
                  <c:v>589784.82999999996</c:v>
                </c:pt>
                <c:pt idx="342">
                  <c:v>591275.29</c:v>
                </c:pt>
                <c:pt idx="343">
                  <c:v>591604.29</c:v>
                </c:pt>
                <c:pt idx="344">
                  <c:v>595308.17000000004</c:v>
                </c:pt>
                <c:pt idx="345">
                  <c:v>595308.17000000004</c:v>
                </c:pt>
                <c:pt idx="346">
                  <c:v>592390.28</c:v>
                </c:pt>
                <c:pt idx="347">
                  <c:v>554571.62</c:v>
                </c:pt>
                <c:pt idx="348">
                  <c:v>555118.31999999995</c:v>
                </c:pt>
                <c:pt idx="349">
                  <c:v>545445.69999999995</c:v>
                </c:pt>
                <c:pt idx="350">
                  <c:v>557177.62</c:v>
                </c:pt>
                <c:pt idx="351">
                  <c:v>557177.62</c:v>
                </c:pt>
                <c:pt idx="352">
                  <c:v>557177.62</c:v>
                </c:pt>
                <c:pt idx="353">
                  <c:v>557177.62</c:v>
                </c:pt>
                <c:pt idx="354">
                  <c:v>553656.31999999995</c:v>
                </c:pt>
                <c:pt idx="355">
                  <c:v>576179.18000000005</c:v>
                </c:pt>
                <c:pt idx="356">
                  <c:v>561372.46</c:v>
                </c:pt>
                <c:pt idx="357">
                  <c:v>524111.97</c:v>
                </c:pt>
                <c:pt idx="358">
                  <c:v>524111.97</c:v>
                </c:pt>
                <c:pt idx="359">
                  <c:v>518915.42</c:v>
                </c:pt>
                <c:pt idx="360">
                  <c:v>518564.39</c:v>
                </c:pt>
                <c:pt idx="361">
                  <c:v>518564.39</c:v>
                </c:pt>
                <c:pt idx="362">
                  <c:v>518564.39</c:v>
                </c:pt>
                <c:pt idx="363">
                  <c:v>518615.52</c:v>
                </c:pt>
                <c:pt idx="364">
                  <c:v>521662.04</c:v>
                </c:pt>
                <c:pt idx="365">
                  <c:v>555436.06999999995</c:v>
                </c:pt>
                <c:pt idx="366">
                  <c:v>553235.18000000005</c:v>
                </c:pt>
                <c:pt idx="367">
                  <c:v>516429.69</c:v>
                </c:pt>
                <c:pt idx="368">
                  <c:v>574828.56999999995</c:v>
                </c:pt>
                <c:pt idx="369">
                  <c:v>574828.56999999995</c:v>
                </c:pt>
                <c:pt idx="370">
                  <c:v>574828.56999999995</c:v>
                </c:pt>
                <c:pt idx="371">
                  <c:v>574828.56999999995</c:v>
                </c:pt>
                <c:pt idx="372">
                  <c:v>574828.56999999995</c:v>
                </c:pt>
                <c:pt idx="373">
                  <c:v>574797.69999999995</c:v>
                </c:pt>
                <c:pt idx="374">
                  <c:v>574797.69999999995</c:v>
                </c:pt>
                <c:pt idx="375">
                  <c:v>581217.82999999996</c:v>
                </c:pt>
                <c:pt idx="376">
                  <c:v>581797.82999999996</c:v>
                </c:pt>
                <c:pt idx="377">
                  <c:v>581797.82999999996</c:v>
                </c:pt>
                <c:pt idx="378">
                  <c:v>547045.46</c:v>
                </c:pt>
                <c:pt idx="379">
                  <c:v>547045.46</c:v>
                </c:pt>
                <c:pt idx="380">
                  <c:v>545941.55000000005</c:v>
                </c:pt>
                <c:pt idx="381">
                  <c:v>546153.55000000005</c:v>
                </c:pt>
                <c:pt idx="382">
                  <c:v>546153.55000000005</c:v>
                </c:pt>
                <c:pt idx="383">
                  <c:v>545553.55000000005</c:v>
                </c:pt>
                <c:pt idx="384">
                  <c:v>548862.66999999993</c:v>
                </c:pt>
                <c:pt idx="385">
                  <c:v>549142.23</c:v>
                </c:pt>
                <c:pt idx="386">
                  <c:v>549142.23</c:v>
                </c:pt>
                <c:pt idx="387">
                  <c:v>514004.18</c:v>
                </c:pt>
                <c:pt idx="388">
                  <c:v>514004.18</c:v>
                </c:pt>
                <c:pt idx="389">
                  <c:v>511182.78</c:v>
                </c:pt>
                <c:pt idx="390">
                  <c:v>510853.66000000003</c:v>
                </c:pt>
                <c:pt idx="391">
                  <c:v>507819.97</c:v>
                </c:pt>
                <c:pt idx="392">
                  <c:v>507789.1</c:v>
                </c:pt>
                <c:pt idx="393">
                  <c:v>507391.61</c:v>
                </c:pt>
                <c:pt idx="394">
                  <c:v>518580.22</c:v>
                </c:pt>
                <c:pt idx="395">
                  <c:v>550978.54</c:v>
                </c:pt>
                <c:pt idx="396">
                  <c:v>517674.89</c:v>
                </c:pt>
                <c:pt idx="397">
                  <c:v>517674.89</c:v>
                </c:pt>
                <c:pt idx="398">
                  <c:v>505993.19999999995</c:v>
                </c:pt>
                <c:pt idx="399">
                  <c:v>505993.19999999995</c:v>
                </c:pt>
                <c:pt idx="400">
                  <c:v>506811.4</c:v>
                </c:pt>
                <c:pt idx="401">
                  <c:v>506811.4</c:v>
                </c:pt>
                <c:pt idx="402">
                  <c:v>507710.06</c:v>
                </c:pt>
                <c:pt idx="403">
                  <c:v>507810.06</c:v>
                </c:pt>
                <c:pt idx="404">
                  <c:v>507906.56</c:v>
                </c:pt>
                <c:pt idx="405">
                  <c:v>508693.88</c:v>
                </c:pt>
                <c:pt idx="406">
                  <c:v>509039.89</c:v>
                </c:pt>
                <c:pt idx="407">
                  <c:v>480741.11</c:v>
                </c:pt>
                <c:pt idx="408">
                  <c:v>492793.56999999995</c:v>
                </c:pt>
                <c:pt idx="409">
                  <c:v>490184.68</c:v>
                </c:pt>
                <c:pt idx="410">
                  <c:v>490825.35</c:v>
                </c:pt>
                <c:pt idx="411">
                  <c:v>487953.12</c:v>
                </c:pt>
                <c:pt idx="412">
                  <c:v>488049.62</c:v>
                </c:pt>
                <c:pt idx="413">
                  <c:v>488084.28</c:v>
                </c:pt>
                <c:pt idx="414">
                  <c:v>489260.69</c:v>
                </c:pt>
                <c:pt idx="415">
                  <c:v>487504.65</c:v>
                </c:pt>
                <c:pt idx="416">
                  <c:v>493139.31</c:v>
                </c:pt>
                <c:pt idx="417">
                  <c:v>460235.4</c:v>
                </c:pt>
                <c:pt idx="418">
                  <c:v>461284.12</c:v>
                </c:pt>
                <c:pt idx="419">
                  <c:v>459321.21</c:v>
                </c:pt>
                <c:pt idx="420">
                  <c:v>457084.76</c:v>
                </c:pt>
                <c:pt idx="421">
                  <c:v>463766.42000000004</c:v>
                </c:pt>
                <c:pt idx="422">
                  <c:v>463766.42000000004</c:v>
                </c:pt>
                <c:pt idx="423">
                  <c:v>469122.74</c:v>
                </c:pt>
                <c:pt idx="424">
                  <c:v>469122.74</c:v>
                </c:pt>
                <c:pt idx="425">
                  <c:v>492677.1</c:v>
                </c:pt>
                <c:pt idx="426">
                  <c:v>471079.96</c:v>
                </c:pt>
                <c:pt idx="427">
                  <c:v>471079.96</c:v>
                </c:pt>
                <c:pt idx="428">
                  <c:v>441990.52</c:v>
                </c:pt>
                <c:pt idx="429">
                  <c:v>442836.98</c:v>
                </c:pt>
                <c:pt idx="430">
                  <c:v>442485.95</c:v>
                </c:pt>
                <c:pt idx="431">
                  <c:v>433080.95</c:v>
                </c:pt>
                <c:pt idx="432">
                  <c:v>430333.06000000006</c:v>
                </c:pt>
                <c:pt idx="433">
                  <c:v>427774.19</c:v>
                </c:pt>
                <c:pt idx="434">
                  <c:v>444122.88</c:v>
                </c:pt>
                <c:pt idx="435">
                  <c:v>444122.88</c:v>
                </c:pt>
                <c:pt idx="436">
                  <c:v>444122.88</c:v>
                </c:pt>
                <c:pt idx="437">
                  <c:v>444092.01</c:v>
                </c:pt>
                <c:pt idx="438">
                  <c:v>409823.26</c:v>
                </c:pt>
                <c:pt idx="439">
                  <c:v>409823.26</c:v>
                </c:pt>
                <c:pt idx="440">
                  <c:v>431469.19</c:v>
                </c:pt>
                <c:pt idx="441">
                  <c:v>431469.19</c:v>
                </c:pt>
                <c:pt idx="442">
                  <c:v>431469.19</c:v>
                </c:pt>
                <c:pt idx="443">
                  <c:v>431469.19</c:v>
                </c:pt>
                <c:pt idx="444">
                  <c:v>431182.22</c:v>
                </c:pt>
                <c:pt idx="445">
                  <c:v>431060.93</c:v>
                </c:pt>
                <c:pt idx="446">
                  <c:v>431037.93</c:v>
                </c:pt>
                <c:pt idx="447">
                  <c:v>394761.57</c:v>
                </c:pt>
                <c:pt idx="448">
                  <c:v>394761.57</c:v>
                </c:pt>
                <c:pt idx="449">
                  <c:v>388573.93</c:v>
                </c:pt>
                <c:pt idx="450">
                  <c:v>388238.18</c:v>
                </c:pt>
                <c:pt idx="451">
                  <c:v>388662.43</c:v>
                </c:pt>
                <c:pt idx="452">
                  <c:v>388662.43</c:v>
                </c:pt>
                <c:pt idx="453">
                  <c:v>391543.06999999995</c:v>
                </c:pt>
                <c:pt idx="454">
                  <c:v>391543.06999999995</c:v>
                </c:pt>
                <c:pt idx="455">
                  <c:v>389740.61</c:v>
                </c:pt>
                <c:pt idx="456">
                  <c:v>376111.05</c:v>
                </c:pt>
                <c:pt idx="457">
                  <c:v>334132.69</c:v>
                </c:pt>
                <c:pt idx="458">
                  <c:v>334616.39</c:v>
                </c:pt>
                <c:pt idx="459">
                  <c:v>414568.4</c:v>
                </c:pt>
                <c:pt idx="460">
                  <c:v>415428.4</c:v>
                </c:pt>
                <c:pt idx="461">
                  <c:v>415397.53</c:v>
                </c:pt>
                <c:pt idx="462">
                  <c:v>415400.43</c:v>
                </c:pt>
                <c:pt idx="463">
                  <c:v>435428.01</c:v>
                </c:pt>
                <c:pt idx="464">
                  <c:v>436352.06</c:v>
                </c:pt>
                <c:pt idx="465">
                  <c:v>436302.06</c:v>
                </c:pt>
                <c:pt idx="466">
                  <c:v>436248.54</c:v>
                </c:pt>
                <c:pt idx="467">
                  <c:v>435998.54</c:v>
                </c:pt>
                <c:pt idx="468">
                  <c:v>435781.03</c:v>
                </c:pt>
                <c:pt idx="469">
                  <c:v>435577.56</c:v>
                </c:pt>
                <c:pt idx="470">
                  <c:v>456572.82999999996</c:v>
                </c:pt>
                <c:pt idx="471">
                  <c:v>456221.8</c:v>
                </c:pt>
                <c:pt idx="472">
                  <c:v>456117.56</c:v>
                </c:pt>
                <c:pt idx="473">
                  <c:v>455967.56</c:v>
                </c:pt>
                <c:pt idx="474">
                  <c:v>449876.04</c:v>
                </c:pt>
                <c:pt idx="475">
                  <c:v>447560.9</c:v>
                </c:pt>
                <c:pt idx="476">
                  <c:v>447352.9</c:v>
                </c:pt>
                <c:pt idx="477">
                  <c:v>446752.9</c:v>
                </c:pt>
                <c:pt idx="478">
                  <c:v>446306.68</c:v>
                </c:pt>
                <c:pt idx="479">
                  <c:v>445887.78</c:v>
                </c:pt>
                <c:pt idx="480">
                  <c:v>445505.47</c:v>
                </c:pt>
                <c:pt idx="481">
                  <c:v>445491.47</c:v>
                </c:pt>
                <c:pt idx="482">
                  <c:v>445038.72</c:v>
                </c:pt>
                <c:pt idx="483">
                  <c:v>444793.47</c:v>
                </c:pt>
                <c:pt idx="484">
                  <c:v>444729.55</c:v>
                </c:pt>
                <c:pt idx="485">
                  <c:v>444099.55</c:v>
                </c:pt>
                <c:pt idx="486">
                  <c:v>443978.94999999995</c:v>
                </c:pt>
                <c:pt idx="487">
                  <c:v>441928.94999999995</c:v>
                </c:pt>
                <c:pt idx="488">
                  <c:v>441330.20999999996</c:v>
                </c:pt>
                <c:pt idx="489">
                  <c:v>441289.15</c:v>
                </c:pt>
                <c:pt idx="490">
                  <c:v>441609.15</c:v>
                </c:pt>
                <c:pt idx="491">
                  <c:v>445038.06999999995</c:v>
                </c:pt>
                <c:pt idx="492">
                  <c:v>445015.06999999995</c:v>
                </c:pt>
                <c:pt idx="493">
                  <c:v>444684.66000000003</c:v>
                </c:pt>
                <c:pt idx="494">
                  <c:v>444084.66000000003</c:v>
                </c:pt>
                <c:pt idx="495">
                  <c:v>477690.05</c:v>
                </c:pt>
                <c:pt idx="496">
                  <c:v>435748.37</c:v>
                </c:pt>
                <c:pt idx="497">
                  <c:v>435671.87</c:v>
                </c:pt>
                <c:pt idx="498">
                  <c:v>435408.66000000003</c:v>
                </c:pt>
                <c:pt idx="499">
                  <c:v>435194.45999999996</c:v>
                </c:pt>
                <c:pt idx="500">
                  <c:v>435017.47</c:v>
                </c:pt>
                <c:pt idx="501">
                  <c:v>434984.12</c:v>
                </c:pt>
                <c:pt idx="502">
                  <c:v>433976.95999999996</c:v>
                </c:pt>
                <c:pt idx="503">
                  <c:v>433939.36</c:v>
                </c:pt>
                <c:pt idx="504">
                  <c:v>433911.55</c:v>
                </c:pt>
                <c:pt idx="505">
                  <c:v>433881.4</c:v>
                </c:pt>
                <c:pt idx="506">
                  <c:v>442004.72</c:v>
                </c:pt>
                <c:pt idx="507">
                  <c:v>441653.69</c:v>
                </c:pt>
                <c:pt idx="508">
                  <c:v>441995.39</c:v>
                </c:pt>
                <c:pt idx="509">
                  <c:v>442012.12</c:v>
                </c:pt>
                <c:pt idx="510">
                  <c:v>442444.12</c:v>
                </c:pt>
                <c:pt idx="511">
                  <c:v>442106.93</c:v>
                </c:pt>
                <c:pt idx="512">
                  <c:v>442053.41000000003</c:v>
                </c:pt>
                <c:pt idx="513">
                  <c:v>441808.22</c:v>
                </c:pt>
                <c:pt idx="514">
                  <c:v>441600.22</c:v>
                </c:pt>
                <c:pt idx="515">
                  <c:v>441536.23</c:v>
                </c:pt>
                <c:pt idx="516">
                  <c:v>441515.98</c:v>
                </c:pt>
                <c:pt idx="517">
                  <c:v>441218.38</c:v>
                </c:pt>
                <c:pt idx="518">
                  <c:v>441155.38</c:v>
                </c:pt>
                <c:pt idx="519">
                  <c:v>441405.38</c:v>
                </c:pt>
                <c:pt idx="520">
                  <c:v>441338.61</c:v>
                </c:pt>
                <c:pt idx="521">
                  <c:v>440712.58999999997</c:v>
                </c:pt>
                <c:pt idx="522">
                  <c:v>440604.43</c:v>
                </c:pt>
                <c:pt idx="523">
                  <c:v>440499.44</c:v>
                </c:pt>
                <c:pt idx="524">
                  <c:v>440382.61</c:v>
                </c:pt>
                <c:pt idx="525">
                  <c:v>440019.70999999996</c:v>
                </c:pt>
                <c:pt idx="526">
                  <c:v>438652.63</c:v>
                </c:pt>
                <c:pt idx="527">
                  <c:v>463652.63</c:v>
                </c:pt>
                <c:pt idx="528">
                  <c:v>463822.63</c:v>
                </c:pt>
                <c:pt idx="529">
                  <c:v>463822.63</c:v>
                </c:pt>
                <c:pt idx="530">
                  <c:v>460904.74</c:v>
                </c:pt>
                <c:pt idx="531">
                  <c:v>460844.74</c:v>
                </c:pt>
                <c:pt idx="532">
                  <c:v>420383</c:v>
                </c:pt>
                <c:pt idx="533">
                  <c:v>411651.03</c:v>
                </c:pt>
                <c:pt idx="534">
                  <c:v>411443.03</c:v>
                </c:pt>
                <c:pt idx="535">
                  <c:v>410990.05</c:v>
                </c:pt>
                <c:pt idx="536">
                  <c:v>409211.81</c:v>
                </c:pt>
                <c:pt idx="537">
                  <c:v>408634.55</c:v>
                </c:pt>
                <c:pt idx="538">
                  <c:v>407397.53</c:v>
                </c:pt>
                <c:pt idx="539">
                  <c:v>407381.53</c:v>
                </c:pt>
                <c:pt idx="540">
                  <c:v>407360.53</c:v>
                </c:pt>
                <c:pt idx="541">
                  <c:v>407609.53</c:v>
                </c:pt>
                <c:pt idx="542">
                  <c:v>422598.70999999996</c:v>
                </c:pt>
                <c:pt idx="543">
                  <c:v>423159.28</c:v>
                </c:pt>
                <c:pt idx="544">
                  <c:v>423101.28</c:v>
                </c:pt>
                <c:pt idx="545">
                  <c:v>422750.25</c:v>
                </c:pt>
                <c:pt idx="546">
                  <c:v>422363.36</c:v>
                </c:pt>
                <c:pt idx="547">
                  <c:v>422332.49</c:v>
                </c:pt>
                <c:pt idx="548">
                  <c:v>426353.55</c:v>
                </c:pt>
                <c:pt idx="549">
                  <c:v>426927.55</c:v>
                </c:pt>
                <c:pt idx="550">
                  <c:v>426927.55</c:v>
                </c:pt>
                <c:pt idx="551">
                  <c:v>427753.16000000003</c:v>
                </c:pt>
                <c:pt idx="552">
                  <c:v>426032.37</c:v>
                </c:pt>
                <c:pt idx="553">
                  <c:v>434744.04000000004</c:v>
                </c:pt>
                <c:pt idx="554">
                  <c:v>392415.65</c:v>
                </c:pt>
                <c:pt idx="555">
                  <c:v>392392.65</c:v>
                </c:pt>
                <c:pt idx="556">
                  <c:v>392281.77</c:v>
                </c:pt>
                <c:pt idx="557">
                  <c:v>392073.77</c:v>
                </c:pt>
                <c:pt idx="558">
                  <c:v>391781.77</c:v>
                </c:pt>
                <c:pt idx="559">
                  <c:v>391706.76</c:v>
                </c:pt>
                <c:pt idx="560">
                  <c:v>391418.27</c:v>
                </c:pt>
                <c:pt idx="561">
                  <c:v>391123.27</c:v>
                </c:pt>
                <c:pt idx="562">
                  <c:v>391105.62</c:v>
                </c:pt>
                <c:pt idx="563">
                  <c:v>390992.18</c:v>
                </c:pt>
                <c:pt idx="564">
                  <c:v>390902.67000000004</c:v>
                </c:pt>
                <c:pt idx="565">
                  <c:v>390473.13</c:v>
                </c:pt>
                <c:pt idx="566">
                  <c:v>390145.12</c:v>
                </c:pt>
                <c:pt idx="567">
                  <c:v>390090.51</c:v>
                </c:pt>
                <c:pt idx="568">
                  <c:v>389964.76</c:v>
                </c:pt>
                <c:pt idx="569">
                  <c:v>389830.80000000005</c:v>
                </c:pt>
                <c:pt idx="570">
                  <c:v>389217.19</c:v>
                </c:pt>
                <c:pt idx="571">
                  <c:v>386663.1</c:v>
                </c:pt>
                <c:pt idx="572">
                  <c:v>386554.56</c:v>
                </c:pt>
                <c:pt idx="573">
                  <c:v>386788.56</c:v>
                </c:pt>
                <c:pt idx="574">
                  <c:v>386168.47</c:v>
                </c:pt>
                <c:pt idx="575">
                  <c:v>385817.44</c:v>
                </c:pt>
                <c:pt idx="576">
                  <c:v>388587.64</c:v>
                </c:pt>
                <c:pt idx="577">
                  <c:v>383945.64</c:v>
                </c:pt>
                <c:pt idx="578">
                  <c:v>384003.42</c:v>
                </c:pt>
                <c:pt idx="579">
                  <c:v>383718.68</c:v>
                </c:pt>
                <c:pt idx="580">
                  <c:v>383665.16000000003</c:v>
                </c:pt>
                <c:pt idx="581">
                  <c:v>383138.28</c:v>
                </c:pt>
                <c:pt idx="582">
                  <c:v>383074.28</c:v>
                </c:pt>
                <c:pt idx="583">
                  <c:v>382999.29000000004</c:v>
                </c:pt>
                <c:pt idx="584">
                  <c:v>382965.45</c:v>
                </c:pt>
                <c:pt idx="585">
                  <c:v>382960.85</c:v>
                </c:pt>
                <c:pt idx="586">
                  <c:v>382687.15</c:v>
                </c:pt>
                <c:pt idx="587">
                  <c:v>382187.15</c:v>
                </c:pt>
                <c:pt idx="588">
                  <c:v>382473.15</c:v>
                </c:pt>
                <c:pt idx="589">
                  <c:v>382473.15</c:v>
                </c:pt>
                <c:pt idx="590">
                  <c:v>382476.65</c:v>
                </c:pt>
                <c:pt idx="591">
                  <c:v>382018.3</c:v>
                </c:pt>
                <c:pt idx="592">
                  <c:v>385270.54000000004</c:v>
                </c:pt>
                <c:pt idx="593">
                  <c:v>385286.02</c:v>
                </c:pt>
                <c:pt idx="594">
                  <c:v>384920.04000000004</c:v>
                </c:pt>
                <c:pt idx="595">
                  <c:v>343105.26</c:v>
                </c:pt>
                <c:pt idx="596">
                  <c:v>340105.37</c:v>
                </c:pt>
                <c:pt idx="597">
                  <c:v>335468.29000000004</c:v>
                </c:pt>
                <c:pt idx="598">
                  <c:v>335433.94</c:v>
                </c:pt>
                <c:pt idx="599">
                  <c:v>335225.94</c:v>
                </c:pt>
                <c:pt idx="600">
                  <c:v>333447.7</c:v>
                </c:pt>
                <c:pt idx="601">
                  <c:v>333350.23</c:v>
                </c:pt>
                <c:pt idx="602">
                  <c:v>333173.24</c:v>
                </c:pt>
                <c:pt idx="603">
                  <c:v>332837.56</c:v>
                </c:pt>
                <c:pt idx="604">
                  <c:v>332720.73</c:v>
                </c:pt>
                <c:pt idx="605">
                  <c:v>331623.23</c:v>
                </c:pt>
                <c:pt idx="606">
                  <c:v>331473.23</c:v>
                </c:pt>
                <c:pt idx="607">
                  <c:v>331441.23</c:v>
                </c:pt>
                <c:pt idx="608">
                  <c:v>331541.23</c:v>
                </c:pt>
                <c:pt idx="609">
                  <c:v>331190.2</c:v>
                </c:pt>
                <c:pt idx="610">
                  <c:v>331515.2</c:v>
                </c:pt>
                <c:pt idx="611">
                  <c:v>335363.53000000003</c:v>
                </c:pt>
                <c:pt idx="612">
                  <c:v>335214.24</c:v>
                </c:pt>
                <c:pt idx="613">
                  <c:v>334827.34999999998</c:v>
                </c:pt>
                <c:pt idx="614">
                  <c:v>370155.19999999995</c:v>
                </c:pt>
                <c:pt idx="615">
                  <c:v>329849.65000000002</c:v>
                </c:pt>
                <c:pt idx="616">
                  <c:v>408608.68</c:v>
                </c:pt>
                <c:pt idx="617">
                  <c:v>408588.68</c:v>
                </c:pt>
                <c:pt idx="618">
                  <c:v>533588.67999999993</c:v>
                </c:pt>
                <c:pt idx="619">
                  <c:v>533565.67999999993</c:v>
                </c:pt>
                <c:pt idx="620">
                  <c:v>533415.67999999993</c:v>
                </c:pt>
                <c:pt idx="621">
                  <c:v>525563.86</c:v>
                </c:pt>
                <c:pt idx="622">
                  <c:v>523323.94999999995</c:v>
                </c:pt>
                <c:pt idx="623">
                  <c:v>523060.35</c:v>
                </c:pt>
                <c:pt idx="624">
                  <c:v>522972.04000000004</c:v>
                </c:pt>
                <c:pt idx="625">
                  <c:v>522707.51</c:v>
                </c:pt>
                <c:pt idx="626">
                  <c:v>522092.67999999993</c:v>
                </c:pt>
                <c:pt idx="627">
                  <c:v>522071.03</c:v>
                </c:pt>
                <c:pt idx="628">
                  <c:v>521537.44999999995</c:v>
                </c:pt>
                <c:pt idx="629">
                  <c:v>521107.91000000003</c:v>
                </c:pt>
                <c:pt idx="630">
                  <c:v>520990.61</c:v>
                </c:pt>
                <c:pt idx="631">
                  <c:v>520378.69999999995</c:v>
                </c:pt>
                <c:pt idx="632">
                  <c:v>520320.57999999996</c:v>
                </c:pt>
                <c:pt idx="633">
                  <c:v>534914.6</c:v>
                </c:pt>
                <c:pt idx="634">
                  <c:v>535471.51</c:v>
                </c:pt>
                <c:pt idx="635">
                  <c:v>535571.51</c:v>
                </c:pt>
                <c:pt idx="636">
                  <c:v>535220.47999999998</c:v>
                </c:pt>
                <c:pt idx="637">
                  <c:v>535851.48</c:v>
                </c:pt>
                <c:pt idx="638">
                  <c:v>536311.48</c:v>
                </c:pt>
                <c:pt idx="639">
                  <c:v>526861.48</c:v>
                </c:pt>
                <c:pt idx="640">
                  <c:v>526771.48</c:v>
                </c:pt>
                <c:pt idx="641">
                  <c:v>526665.76</c:v>
                </c:pt>
                <c:pt idx="642">
                  <c:v>526579.77</c:v>
                </c:pt>
                <c:pt idx="643">
                  <c:v>526579.77</c:v>
                </c:pt>
                <c:pt idx="644">
                  <c:v>524798.53</c:v>
                </c:pt>
                <c:pt idx="645">
                  <c:v>524120.99</c:v>
                </c:pt>
                <c:pt idx="646">
                  <c:v>524093.39</c:v>
                </c:pt>
                <c:pt idx="647">
                  <c:v>524072.39</c:v>
                </c:pt>
                <c:pt idx="648">
                  <c:v>524072.39</c:v>
                </c:pt>
                <c:pt idx="649">
                  <c:v>523894.11</c:v>
                </c:pt>
                <c:pt idx="650">
                  <c:v>523656.66000000003</c:v>
                </c:pt>
                <c:pt idx="651">
                  <c:v>523671.15</c:v>
                </c:pt>
                <c:pt idx="652">
                  <c:v>480106.27</c:v>
                </c:pt>
                <c:pt idx="653">
                  <c:v>480052.75</c:v>
                </c:pt>
                <c:pt idx="654">
                  <c:v>479688.41</c:v>
                </c:pt>
                <c:pt idx="655">
                  <c:v>479480.41</c:v>
                </c:pt>
                <c:pt idx="656">
                  <c:v>479097.24</c:v>
                </c:pt>
                <c:pt idx="657">
                  <c:v>479093.24</c:v>
                </c:pt>
                <c:pt idx="658">
                  <c:v>479072.24</c:v>
                </c:pt>
                <c:pt idx="659">
                  <c:v>479028.4</c:v>
                </c:pt>
                <c:pt idx="660">
                  <c:v>479643.4</c:v>
                </c:pt>
                <c:pt idx="661">
                  <c:v>542279.13</c:v>
                </c:pt>
                <c:pt idx="662">
                  <c:v>541679.13</c:v>
                </c:pt>
                <c:pt idx="663">
                  <c:v>541666.38</c:v>
                </c:pt>
                <c:pt idx="664">
                  <c:v>538452.99</c:v>
                </c:pt>
                <c:pt idx="665">
                  <c:v>538552.99</c:v>
                </c:pt>
                <c:pt idx="666">
                  <c:v>536552.99</c:v>
                </c:pt>
                <c:pt idx="667">
                  <c:v>536201.63</c:v>
                </c:pt>
                <c:pt idx="668">
                  <c:v>535807.31999999995</c:v>
                </c:pt>
                <c:pt idx="669">
                  <c:v>535664.52</c:v>
                </c:pt>
                <c:pt idx="670">
                  <c:v>535761.02</c:v>
                </c:pt>
                <c:pt idx="671">
                  <c:v>536438.02</c:v>
                </c:pt>
                <c:pt idx="672">
                  <c:v>536339.53</c:v>
                </c:pt>
                <c:pt idx="673">
                  <c:v>587170.17000000004</c:v>
                </c:pt>
                <c:pt idx="674">
                  <c:v>580571.54999999993</c:v>
                </c:pt>
                <c:pt idx="675">
                  <c:v>580513.42999999993</c:v>
                </c:pt>
                <c:pt idx="676">
                  <c:v>580071.26</c:v>
                </c:pt>
                <c:pt idx="677">
                  <c:v>580008.26</c:v>
                </c:pt>
                <c:pt idx="678">
                  <c:v>579804.6</c:v>
                </c:pt>
                <c:pt idx="679">
                  <c:v>578855.37</c:v>
                </c:pt>
                <c:pt idx="680">
                  <c:v>578822.67999999993</c:v>
                </c:pt>
                <c:pt idx="681">
                  <c:v>544325.26</c:v>
                </c:pt>
                <c:pt idx="682">
                  <c:v>544325.26</c:v>
                </c:pt>
                <c:pt idx="683">
                  <c:v>545173.66</c:v>
                </c:pt>
                <c:pt idx="684">
                  <c:v>544863.68000000005</c:v>
                </c:pt>
                <c:pt idx="685">
                  <c:v>544840.68000000005</c:v>
                </c:pt>
                <c:pt idx="686">
                  <c:v>566395.73</c:v>
                </c:pt>
                <c:pt idx="687">
                  <c:v>527044.18999999994</c:v>
                </c:pt>
                <c:pt idx="688">
                  <c:v>527073.05000000005</c:v>
                </c:pt>
                <c:pt idx="689">
                  <c:v>527073.05000000005</c:v>
                </c:pt>
                <c:pt idx="690">
                  <c:v>527073.05000000005</c:v>
                </c:pt>
                <c:pt idx="691">
                  <c:v>527861.25</c:v>
                </c:pt>
                <c:pt idx="692">
                  <c:v>527711.25</c:v>
                </c:pt>
                <c:pt idx="693">
                  <c:v>524055.78</c:v>
                </c:pt>
                <c:pt idx="694">
                  <c:v>523966.91000000003</c:v>
                </c:pt>
                <c:pt idx="695">
                  <c:v>523289.08999999997</c:v>
                </c:pt>
                <c:pt idx="696">
                  <c:v>522707.93000000005</c:v>
                </c:pt>
                <c:pt idx="697">
                  <c:v>522382.93000000005</c:v>
                </c:pt>
                <c:pt idx="698">
                  <c:v>522192.53</c:v>
                </c:pt>
                <c:pt idx="699">
                  <c:v>519298.83999999997</c:v>
                </c:pt>
                <c:pt idx="700">
                  <c:v>518936.1</c:v>
                </c:pt>
                <c:pt idx="701">
                  <c:v>518661.35</c:v>
                </c:pt>
                <c:pt idx="702">
                  <c:v>518609.56</c:v>
                </c:pt>
                <c:pt idx="703">
                  <c:v>518485.12</c:v>
                </c:pt>
                <c:pt idx="704">
                  <c:v>517870.45</c:v>
                </c:pt>
                <c:pt idx="705">
                  <c:v>517570.45</c:v>
                </c:pt>
                <c:pt idx="706">
                  <c:v>517538.58999999997</c:v>
                </c:pt>
                <c:pt idx="707">
                  <c:v>517508.64</c:v>
                </c:pt>
                <c:pt idx="708">
                  <c:v>517198.66000000003</c:v>
                </c:pt>
                <c:pt idx="709">
                  <c:v>521648.66000000003</c:v>
                </c:pt>
                <c:pt idx="710">
                  <c:v>538194.97</c:v>
                </c:pt>
                <c:pt idx="711">
                  <c:v>551196.84</c:v>
                </c:pt>
                <c:pt idx="712">
                  <c:v>548130.44999999995</c:v>
                </c:pt>
                <c:pt idx="713">
                  <c:v>547980.44999999995</c:v>
                </c:pt>
                <c:pt idx="714">
                  <c:v>547980.44999999995</c:v>
                </c:pt>
                <c:pt idx="715">
                  <c:v>547930.44999999995</c:v>
                </c:pt>
                <c:pt idx="716">
                  <c:v>568182.62</c:v>
                </c:pt>
                <c:pt idx="717">
                  <c:v>567633.55000000005</c:v>
                </c:pt>
                <c:pt idx="718">
                  <c:v>532764.98</c:v>
                </c:pt>
                <c:pt idx="719">
                  <c:v>532732.29</c:v>
                </c:pt>
                <c:pt idx="720">
                  <c:v>532305.86</c:v>
                </c:pt>
                <c:pt idx="721">
                  <c:v>531883.48</c:v>
                </c:pt>
                <c:pt idx="722">
                  <c:v>531791.48</c:v>
                </c:pt>
                <c:pt idx="723">
                  <c:v>529702.51</c:v>
                </c:pt>
                <c:pt idx="724">
                  <c:v>529914.51</c:v>
                </c:pt>
                <c:pt idx="725">
                  <c:v>528738.86</c:v>
                </c:pt>
                <c:pt idx="726">
                  <c:v>528428.88</c:v>
                </c:pt>
                <c:pt idx="727">
                  <c:v>577620.79</c:v>
                </c:pt>
                <c:pt idx="728">
                  <c:v>577570.79</c:v>
                </c:pt>
                <c:pt idx="729">
                  <c:v>577570.79</c:v>
                </c:pt>
                <c:pt idx="730">
                  <c:v>577274.67000000004</c:v>
                </c:pt>
                <c:pt idx="731">
                  <c:v>577010.17000000004</c:v>
                </c:pt>
                <c:pt idx="732">
                  <c:v>576996.14</c:v>
                </c:pt>
                <c:pt idx="733">
                  <c:v>576643.97</c:v>
                </c:pt>
                <c:pt idx="734">
                  <c:v>576328.97</c:v>
                </c:pt>
                <c:pt idx="735">
                  <c:v>575733.97</c:v>
                </c:pt>
                <c:pt idx="736">
                  <c:v>575608.97</c:v>
                </c:pt>
                <c:pt idx="737">
                  <c:v>575555.44999999995</c:v>
                </c:pt>
                <c:pt idx="738">
                  <c:v>570469.09</c:v>
                </c:pt>
                <c:pt idx="739">
                  <c:v>570358.43999999994</c:v>
                </c:pt>
                <c:pt idx="740">
                  <c:v>570283.44999999995</c:v>
                </c:pt>
                <c:pt idx="741">
                  <c:v>569673.63</c:v>
                </c:pt>
                <c:pt idx="742">
                  <c:v>569655.98</c:v>
                </c:pt>
                <c:pt idx="743">
                  <c:v>569634.98</c:v>
                </c:pt>
                <c:pt idx="744">
                  <c:v>569507.01</c:v>
                </c:pt>
                <c:pt idx="745">
                  <c:v>569357.01</c:v>
                </c:pt>
                <c:pt idx="746">
                  <c:v>569207.01</c:v>
                </c:pt>
                <c:pt idx="747">
                  <c:v>569172.51</c:v>
                </c:pt>
                <c:pt idx="748">
                  <c:v>569717.51</c:v>
                </c:pt>
                <c:pt idx="749">
                  <c:v>570147.51</c:v>
                </c:pt>
                <c:pt idx="750">
                  <c:v>535120.71</c:v>
                </c:pt>
                <c:pt idx="751">
                  <c:v>535486.71</c:v>
                </c:pt>
                <c:pt idx="752">
                  <c:v>535516.71</c:v>
                </c:pt>
                <c:pt idx="753">
                  <c:v>536161.71</c:v>
                </c:pt>
                <c:pt idx="754">
                  <c:v>550880.04</c:v>
                </c:pt>
                <c:pt idx="755">
                  <c:v>550830.04</c:v>
                </c:pt>
                <c:pt idx="756">
                  <c:v>547456.56999999995</c:v>
                </c:pt>
                <c:pt idx="757">
                  <c:v>547019.71</c:v>
                </c:pt>
                <c:pt idx="758">
                  <c:v>546958.80000000005</c:v>
                </c:pt>
                <c:pt idx="759">
                  <c:v>546637.5</c:v>
                </c:pt>
                <c:pt idx="760">
                  <c:v>546198.81999999995</c:v>
                </c:pt>
                <c:pt idx="761">
                  <c:v>546125.53</c:v>
                </c:pt>
                <c:pt idx="762">
                  <c:v>546000.24</c:v>
                </c:pt>
                <c:pt idx="763">
                  <c:v>545896.64</c:v>
                </c:pt>
                <c:pt idx="764">
                  <c:v>545923.49</c:v>
                </c:pt>
                <c:pt idx="765">
                  <c:v>545642.31999999995</c:v>
                </c:pt>
                <c:pt idx="766">
                  <c:v>562800.30000000005</c:v>
                </c:pt>
                <c:pt idx="767">
                  <c:v>559882.41</c:v>
                </c:pt>
                <c:pt idx="768">
                  <c:v>559828.89</c:v>
                </c:pt>
                <c:pt idx="769">
                  <c:v>559618.99</c:v>
                </c:pt>
                <c:pt idx="770">
                  <c:v>553735.16</c:v>
                </c:pt>
                <c:pt idx="771">
                  <c:v>553600.16</c:v>
                </c:pt>
                <c:pt idx="772">
                  <c:v>553214.66</c:v>
                </c:pt>
                <c:pt idx="773">
                  <c:v>552947.65</c:v>
                </c:pt>
                <c:pt idx="774">
                  <c:v>552282.37</c:v>
                </c:pt>
                <c:pt idx="775">
                  <c:v>552240.38</c:v>
                </c:pt>
                <c:pt idx="776">
                  <c:v>548111.06000000006</c:v>
                </c:pt>
                <c:pt idx="777">
                  <c:v>547875.62</c:v>
                </c:pt>
                <c:pt idx="778">
                  <c:v>547830.63</c:v>
                </c:pt>
                <c:pt idx="779">
                  <c:v>547450.31000000006</c:v>
                </c:pt>
                <c:pt idx="780">
                  <c:v>540835.31000000006</c:v>
                </c:pt>
                <c:pt idx="781">
                  <c:v>540221.63</c:v>
                </c:pt>
                <c:pt idx="782">
                  <c:v>540132.65</c:v>
                </c:pt>
                <c:pt idx="783">
                  <c:v>540060.18000000005</c:v>
                </c:pt>
                <c:pt idx="784">
                  <c:v>563798.29</c:v>
                </c:pt>
                <c:pt idx="785">
                  <c:v>562950.29</c:v>
                </c:pt>
                <c:pt idx="786">
                  <c:v>561244.29</c:v>
                </c:pt>
                <c:pt idx="787">
                  <c:v>528536.19999999995</c:v>
                </c:pt>
                <c:pt idx="788">
                  <c:v>528521.19999999995</c:v>
                </c:pt>
                <c:pt idx="789">
                  <c:v>528488.51</c:v>
                </c:pt>
                <c:pt idx="790">
                  <c:v>528092.85</c:v>
                </c:pt>
                <c:pt idx="791">
                  <c:v>522112.78</c:v>
                </c:pt>
                <c:pt idx="792">
                  <c:v>522302.78</c:v>
                </c:pt>
                <c:pt idx="793">
                  <c:v>522372.78</c:v>
                </c:pt>
                <c:pt idx="794">
                  <c:v>522482.78</c:v>
                </c:pt>
                <c:pt idx="795">
                  <c:v>522717.78</c:v>
                </c:pt>
                <c:pt idx="796">
                  <c:v>522722.78</c:v>
                </c:pt>
                <c:pt idx="797">
                  <c:v>522757.78</c:v>
                </c:pt>
                <c:pt idx="798">
                  <c:v>562635.17000000004</c:v>
                </c:pt>
                <c:pt idx="799">
                  <c:v>563333.79</c:v>
                </c:pt>
              </c:numCache>
            </c:numRef>
          </c:val>
          <c:smooth val="0"/>
          <c:extLst>
            <c:ext xmlns:c16="http://schemas.microsoft.com/office/drawing/2014/chart" uri="{C3380CC4-5D6E-409C-BE32-E72D297353CC}">
              <c16:uniqueId val="{00000000-0F42-4BEF-90B8-5A4C53749D6C}"/>
            </c:ext>
          </c:extLst>
        </c:ser>
        <c:dLbls>
          <c:showLegendKey val="0"/>
          <c:showVal val="0"/>
          <c:showCatName val="0"/>
          <c:showSerName val="0"/>
          <c:showPercent val="0"/>
          <c:showBubbleSize val="0"/>
        </c:dLbls>
        <c:smooth val="0"/>
        <c:axId val="416921480"/>
        <c:axId val="416919520"/>
      </c:lineChart>
      <c:dateAx>
        <c:axId val="416921480"/>
        <c:scaling>
          <c:orientation val="minMax"/>
        </c:scaling>
        <c:delete val="0"/>
        <c:axPos val="b"/>
        <c:numFmt formatCode="[$-409]m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919520"/>
        <c:crosses val="autoZero"/>
        <c:auto val="1"/>
        <c:lblOffset val="100"/>
        <c:baseTimeUnit val="days"/>
        <c:majorUnit val="30"/>
        <c:majorTimeUnit val="days"/>
        <c:minorUnit val="4"/>
        <c:minorTimeUnit val="months"/>
      </c:dateAx>
      <c:valAx>
        <c:axId val="416919520"/>
        <c:scaling>
          <c:orientation val="minMax"/>
          <c:max val="700000"/>
          <c:min val="100000"/>
        </c:scaling>
        <c:delete val="0"/>
        <c:axPos val="l"/>
        <c:majorGridlines>
          <c:spPr>
            <a:ln w="9525" cap="flat" cmpd="sng" algn="ctr">
              <a:solidFill>
                <a:schemeClr val="accent1"/>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921480"/>
        <c:crossesAt val="42737"/>
        <c:crossBetween val="between"/>
      </c:valAx>
      <c:spPr>
        <a:no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Grant Receivable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78365824961535"/>
          <c:y val="0.18097222222222226"/>
          <c:w val="0.82764107611548554"/>
          <c:h val="0.64426837270341208"/>
        </c:manualLayout>
      </c:layout>
      <c:barChart>
        <c:barDir val="col"/>
        <c:grouping val="clustered"/>
        <c:varyColors val="0"/>
        <c:ser>
          <c:idx val="0"/>
          <c:order val="0"/>
          <c:spPr>
            <a:solidFill>
              <a:schemeClr val="accent1"/>
            </a:solidFill>
            <a:ln>
              <a:noFill/>
            </a:ln>
            <a:effectLst/>
          </c:spPr>
          <c:invertIfNegative val="0"/>
          <c:cat>
            <c:numRef>
              <c:f>Data!$F$598:$F$635</c:f>
              <c:numCache>
                <c:formatCode>mmm\-yy</c:formatCode>
                <c:ptCount val="38"/>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45626</c:v>
                </c:pt>
                <c:pt idx="35">
                  <c:v>45657</c:v>
                </c:pt>
                <c:pt idx="36">
                  <c:v>45688</c:v>
                </c:pt>
                <c:pt idx="37">
                  <c:v>45716</c:v>
                </c:pt>
              </c:numCache>
            </c:numRef>
          </c:cat>
          <c:val>
            <c:numRef>
              <c:f>Data!$G$598:$G$635</c:f>
              <c:numCache>
                <c:formatCode>"$"#,##0_);[Red]\("$"#,##0\)</c:formatCode>
                <c:ptCount val="38"/>
                <c:pt idx="0">
                  <c:v>483670.84</c:v>
                </c:pt>
                <c:pt idx="1">
                  <c:v>403181.63</c:v>
                </c:pt>
                <c:pt idx="2">
                  <c:v>315833.28999999998</c:v>
                </c:pt>
                <c:pt idx="3">
                  <c:v>327170</c:v>
                </c:pt>
                <c:pt idx="4">
                  <c:v>246847.16</c:v>
                </c:pt>
                <c:pt idx="5">
                  <c:v>274391.32</c:v>
                </c:pt>
                <c:pt idx="6">
                  <c:v>311473.07</c:v>
                </c:pt>
                <c:pt idx="7">
                  <c:v>246923.1</c:v>
                </c:pt>
                <c:pt idx="8">
                  <c:v>214783.77</c:v>
                </c:pt>
                <c:pt idx="9">
                  <c:v>264786.40999999997</c:v>
                </c:pt>
                <c:pt idx="10">
                  <c:v>290727.87</c:v>
                </c:pt>
                <c:pt idx="11">
                  <c:v>362006.45</c:v>
                </c:pt>
                <c:pt idx="12">
                  <c:v>494072.83</c:v>
                </c:pt>
                <c:pt idx="13">
                  <c:v>399857.44</c:v>
                </c:pt>
                <c:pt idx="14">
                  <c:v>279188.34999999998</c:v>
                </c:pt>
                <c:pt idx="15">
                  <c:v>302008.53000000003</c:v>
                </c:pt>
                <c:pt idx="16">
                  <c:v>222544.3</c:v>
                </c:pt>
                <c:pt idx="17">
                  <c:v>303528.63</c:v>
                </c:pt>
                <c:pt idx="18">
                  <c:v>279453.21999999997</c:v>
                </c:pt>
                <c:pt idx="19">
                  <c:v>235427.62</c:v>
                </c:pt>
                <c:pt idx="20">
                  <c:v>301323.59999999998</c:v>
                </c:pt>
                <c:pt idx="21">
                  <c:v>355947.69</c:v>
                </c:pt>
                <c:pt idx="22">
                  <c:v>269865.12</c:v>
                </c:pt>
                <c:pt idx="23">
                  <c:v>266721.90000000002</c:v>
                </c:pt>
                <c:pt idx="24">
                  <c:v>413322.14</c:v>
                </c:pt>
                <c:pt idx="25">
                  <c:v>390662.21</c:v>
                </c:pt>
                <c:pt idx="26">
                  <c:v>280467.3</c:v>
                </c:pt>
                <c:pt idx="27">
                  <c:v>323205.53000000003</c:v>
                </c:pt>
                <c:pt idx="28">
                  <c:v>275004.96000000002</c:v>
                </c:pt>
                <c:pt idx="29">
                  <c:v>296378.64</c:v>
                </c:pt>
                <c:pt idx="30">
                  <c:v>336121.66</c:v>
                </c:pt>
                <c:pt idx="31">
                  <c:v>323670.74</c:v>
                </c:pt>
                <c:pt idx="32">
                  <c:v>343331.81</c:v>
                </c:pt>
                <c:pt idx="33">
                  <c:v>340527.2</c:v>
                </c:pt>
                <c:pt idx="34">
                  <c:v>365969</c:v>
                </c:pt>
                <c:pt idx="35">
                  <c:v>282364</c:v>
                </c:pt>
                <c:pt idx="36">
                  <c:v>399502</c:v>
                </c:pt>
                <c:pt idx="37">
                  <c:v>339403</c:v>
                </c:pt>
              </c:numCache>
            </c:numRef>
          </c:val>
          <c:extLst>
            <c:ext xmlns:c16="http://schemas.microsoft.com/office/drawing/2014/chart" uri="{C3380CC4-5D6E-409C-BE32-E72D297353CC}">
              <c16:uniqueId val="{00000000-F012-4B51-AFCB-B0F5FFD2CD65}"/>
            </c:ext>
          </c:extLst>
        </c:ser>
        <c:dLbls>
          <c:showLegendKey val="0"/>
          <c:showVal val="0"/>
          <c:showCatName val="0"/>
          <c:showSerName val="0"/>
          <c:showPercent val="0"/>
          <c:showBubbleSize val="0"/>
        </c:dLbls>
        <c:gapWidth val="243"/>
        <c:overlap val="-83"/>
        <c:axId val="416922264"/>
        <c:axId val="416922656"/>
      </c:barChart>
      <c:dateAx>
        <c:axId val="41692226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922656"/>
        <c:crosses val="autoZero"/>
        <c:auto val="1"/>
        <c:lblOffset val="100"/>
        <c:baseTimeUnit val="months"/>
      </c:dateAx>
      <c:valAx>
        <c:axId val="4169226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9222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 Investment Balance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4226759790619388E-2"/>
          <c:y val="0.16273304546609094"/>
          <c:w val="0.87700178694655129"/>
          <c:h val="0.76967232964074328"/>
        </c:manualLayout>
      </c:layout>
      <c:scatterChart>
        <c:scatterStyle val="lineMarker"/>
        <c:varyColors val="0"/>
        <c:ser>
          <c:idx val="0"/>
          <c:order val="0"/>
          <c:tx>
            <c:strRef>
              <c:f>Data!$K$525</c:f>
              <c:strCache>
                <c:ptCount val="1"/>
                <c:pt idx="0">
                  <c:v>Investment</c:v>
                </c:pt>
              </c:strCache>
            </c:strRef>
          </c:tx>
          <c:spPr>
            <a:ln w="19050" cap="rnd">
              <a:solidFill>
                <a:schemeClr val="accent1"/>
              </a:solidFill>
              <a:round/>
            </a:ln>
            <a:effectLst/>
          </c:spPr>
          <c:marker>
            <c:symbol val="circle"/>
            <c:size val="5"/>
            <c:spPr>
              <a:solidFill>
                <a:schemeClr val="accent1"/>
              </a:solidFill>
              <a:ln w="6350">
                <a:solidFill>
                  <a:schemeClr val="accent1"/>
                </a:solidFill>
              </a:ln>
              <a:effectLst/>
            </c:spPr>
          </c:marker>
          <c:xVal>
            <c:numRef>
              <c:f>Data!$J$526:$J$632</c:f>
              <c:numCache>
                <c:formatCode>mmm\-yy</c:formatCode>
                <c:ptCount val="107"/>
                <c:pt idx="0">
                  <c:v>42461</c:v>
                </c:pt>
                <c:pt idx="1">
                  <c:v>42491</c:v>
                </c:pt>
                <c:pt idx="2">
                  <c:v>42551</c:v>
                </c:pt>
                <c:pt idx="3">
                  <c:v>42582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pt idx="38">
                  <c:v>43617</c:v>
                </c:pt>
                <c:pt idx="39">
                  <c:v>43647</c:v>
                </c:pt>
                <c:pt idx="40">
                  <c:v>43678</c:v>
                </c:pt>
                <c:pt idx="41">
                  <c:v>43709</c:v>
                </c:pt>
                <c:pt idx="42">
                  <c:v>43739</c:v>
                </c:pt>
                <c:pt idx="43">
                  <c:v>43770</c:v>
                </c:pt>
                <c:pt idx="44">
                  <c:v>43800</c:v>
                </c:pt>
                <c:pt idx="45">
                  <c:v>43831</c:v>
                </c:pt>
                <c:pt idx="46">
                  <c:v>43862</c:v>
                </c:pt>
                <c:pt idx="47">
                  <c:v>43891</c:v>
                </c:pt>
                <c:pt idx="48">
                  <c:v>43922</c:v>
                </c:pt>
                <c:pt idx="49">
                  <c:v>43952</c:v>
                </c:pt>
                <c:pt idx="50">
                  <c:v>43983</c:v>
                </c:pt>
                <c:pt idx="51">
                  <c:v>44013</c:v>
                </c:pt>
                <c:pt idx="52">
                  <c:v>44044</c:v>
                </c:pt>
                <c:pt idx="53">
                  <c:v>44075</c:v>
                </c:pt>
                <c:pt idx="54">
                  <c:v>44105</c:v>
                </c:pt>
                <c:pt idx="55">
                  <c:v>44136</c:v>
                </c:pt>
                <c:pt idx="56">
                  <c:v>44166</c:v>
                </c:pt>
                <c:pt idx="57">
                  <c:v>44197</c:v>
                </c:pt>
                <c:pt idx="58">
                  <c:v>44228</c:v>
                </c:pt>
                <c:pt idx="59">
                  <c:v>44256</c:v>
                </c:pt>
                <c:pt idx="60">
                  <c:v>44287</c:v>
                </c:pt>
                <c:pt idx="61">
                  <c:v>44317</c:v>
                </c:pt>
                <c:pt idx="62">
                  <c:v>44348</c:v>
                </c:pt>
                <c:pt idx="63">
                  <c:v>44378</c:v>
                </c:pt>
                <c:pt idx="64">
                  <c:v>44409</c:v>
                </c:pt>
                <c:pt idx="65">
                  <c:v>44440</c:v>
                </c:pt>
                <c:pt idx="66">
                  <c:v>44470</c:v>
                </c:pt>
                <c:pt idx="67">
                  <c:v>44501</c:v>
                </c:pt>
                <c:pt idx="68">
                  <c:v>44531</c:v>
                </c:pt>
                <c:pt idx="69">
                  <c:v>44562</c:v>
                </c:pt>
                <c:pt idx="70">
                  <c:v>44593</c:v>
                </c:pt>
                <c:pt idx="71">
                  <c:v>44621</c:v>
                </c:pt>
                <c:pt idx="72">
                  <c:v>44652</c:v>
                </c:pt>
                <c:pt idx="73">
                  <c:v>44682</c:v>
                </c:pt>
                <c:pt idx="74">
                  <c:v>44713</c:v>
                </c:pt>
                <c:pt idx="75">
                  <c:v>44743</c:v>
                </c:pt>
                <c:pt idx="76">
                  <c:v>44774</c:v>
                </c:pt>
                <c:pt idx="77">
                  <c:v>44805</c:v>
                </c:pt>
                <c:pt idx="78">
                  <c:v>44835</c:v>
                </c:pt>
                <c:pt idx="79">
                  <c:v>44866</c:v>
                </c:pt>
                <c:pt idx="80">
                  <c:v>44896</c:v>
                </c:pt>
                <c:pt idx="81">
                  <c:v>44927</c:v>
                </c:pt>
                <c:pt idx="82">
                  <c:v>44958</c:v>
                </c:pt>
                <c:pt idx="83">
                  <c:v>44986</c:v>
                </c:pt>
                <c:pt idx="84">
                  <c:v>45017</c:v>
                </c:pt>
                <c:pt idx="85">
                  <c:v>45047</c:v>
                </c:pt>
                <c:pt idx="86">
                  <c:v>45078</c:v>
                </c:pt>
                <c:pt idx="87">
                  <c:v>45108</c:v>
                </c:pt>
                <c:pt idx="88">
                  <c:v>45139</c:v>
                </c:pt>
                <c:pt idx="89">
                  <c:v>45170</c:v>
                </c:pt>
                <c:pt idx="90">
                  <c:v>45200</c:v>
                </c:pt>
                <c:pt idx="91">
                  <c:v>45231</c:v>
                </c:pt>
                <c:pt idx="92">
                  <c:v>45261</c:v>
                </c:pt>
                <c:pt idx="93">
                  <c:v>45292</c:v>
                </c:pt>
                <c:pt idx="94">
                  <c:v>45323</c:v>
                </c:pt>
                <c:pt idx="95">
                  <c:v>45352</c:v>
                </c:pt>
                <c:pt idx="96">
                  <c:v>45383</c:v>
                </c:pt>
                <c:pt idx="97">
                  <c:v>45413</c:v>
                </c:pt>
                <c:pt idx="98">
                  <c:v>45444</c:v>
                </c:pt>
                <c:pt idx="99">
                  <c:v>45474</c:v>
                </c:pt>
                <c:pt idx="100">
                  <c:v>45505</c:v>
                </c:pt>
                <c:pt idx="101">
                  <c:v>45536</c:v>
                </c:pt>
                <c:pt idx="102">
                  <c:v>45566</c:v>
                </c:pt>
                <c:pt idx="103">
                  <c:v>45626</c:v>
                </c:pt>
                <c:pt idx="104">
                  <c:v>45657</c:v>
                </c:pt>
                <c:pt idx="105">
                  <c:v>45688</c:v>
                </c:pt>
                <c:pt idx="106">
                  <c:v>45716</c:v>
                </c:pt>
              </c:numCache>
            </c:numRef>
          </c:xVal>
          <c:yVal>
            <c:numRef>
              <c:f>Data!$K$526:$K$632</c:f>
              <c:numCache>
                <c:formatCode>_("$"* #,##0_);_("$"* \(#,##0\);_("$"* "-"_);_(@_)</c:formatCode>
                <c:ptCount val="107"/>
                <c:pt idx="0">
                  <c:v>151036</c:v>
                </c:pt>
                <c:pt idx="1">
                  <c:v>151087.09</c:v>
                </c:pt>
                <c:pt idx="2">
                  <c:v>151336.84</c:v>
                </c:pt>
                <c:pt idx="3">
                  <c:v>151611.29999999999</c:v>
                </c:pt>
                <c:pt idx="4">
                  <c:v>151776.70000000001</c:v>
                </c:pt>
                <c:pt idx="5">
                  <c:v>151844.44</c:v>
                </c:pt>
                <c:pt idx="6">
                  <c:v>152036.04</c:v>
                </c:pt>
                <c:pt idx="7">
                  <c:v>152464.91</c:v>
                </c:pt>
                <c:pt idx="8">
                  <c:v>154533.13</c:v>
                </c:pt>
                <c:pt idx="9">
                  <c:v>155633.59</c:v>
                </c:pt>
                <c:pt idx="10">
                  <c:v>158448.25</c:v>
                </c:pt>
                <c:pt idx="11">
                  <c:v>159113.29</c:v>
                </c:pt>
                <c:pt idx="12">
                  <c:v>159614.53</c:v>
                </c:pt>
                <c:pt idx="13">
                  <c:v>160436.21</c:v>
                </c:pt>
                <c:pt idx="14">
                  <c:v>160443.22</c:v>
                </c:pt>
                <c:pt idx="15">
                  <c:v>161526.35999999999</c:v>
                </c:pt>
                <c:pt idx="16">
                  <c:v>162013.01</c:v>
                </c:pt>
                <c:pt idx="17">
                  <c:v>163493.49</c:v>
                </c:pt>
                <c:pt idx="18">
                  <c:v>164090.28</c:v>
                </c:pt>
                <c:pt idx="19">
                  <c:v>164908.01</c:v>
                </c:pt>
                <c:pt idx="20">
                  <c:v>164937.87</c:v>
                </c:pt>
                <c:pt idx="21">
                  <c:v>167966.33</c:v>
                </c:pt>
                <c:pt idx="22">
                  <c:v>164746.72</c:v>
                </c:pt>
                <c:pt idx="23">
                  <c:v>163400.39000000001</c:v>
                </c:pt>
                <c:pt idx="24">
                  <c:v>163874.63</c:v>
                </c:pt>
                <c:pt idx="25">
                  <c:v>165109.67000000001</c:v>
                </c:pt>
                <c:pt idx="26">
                  <c:v>164894.5</c:v>
                </c:pt>
                <c:pt idx="27">
                  <c:v>168308.43</c:v>
                </c:pt>
                <c:pt idx="28">
                  <c:v>169314.31</c:v>
                </c:pt>
                <c:pt idx="29">
                  <c:v>170138.99</c:v>
                </c:pt>
                <c:pt idx="30">
                  <c:v>164332.01</c:v>
                </c:pt>
                <c:pt idx="31">
                  <c:v>166031.76999999999</c:v>
                </c:pt>
                <c:pt idx="32">
                  <c:v>159621.23000000001</c:v>
                </c:pt>
                <c:pt idx="33">
                  <c:v>166873.93</c:v>
                </c:pt>
                <c:pt idx="34">
                  <c:v>170486.28</c:v>
                </c:pt>
                <c:pt idx="35">
                  <c:v>171537.16</c:v>
                </c:pt>
                <c:pt idx="36">
                  <c:v>174601.21</c:v>
                </c:pt>
                <c:pt idx="37">
                  <c:v>169831.32</c:v>
                </c:pt>
                <c:pt idx="38">
                  <c:v>175962.43</c:v>
                </c:pt>
                <c:pt idx="39">
                  <c:v>176392.07</c:v>
                </c:pt>
                <c:pt idx="40">
                  <c:v>174581</c:v>
                </c:pt>
                <c:pt idx="41">
                  <c:v>175832.82</c:v>
                </c:pt>
                <c:pt idx="42">
                  <c:v>176684.91</c:v>
                </c:pt>
                <c:pt idx="43">
                  <c:v>180686.55</c:v>
                </c:pt>
                <c:pt idx="44">
                  <c:v>184417.26</c:v>
                </c:pt>
                <c:pt idx="45">
                  <c:v>186588.03</c:v>
                </c:pt>
                <c:pt idx="46">
                  <c:v>177685.24</c:v>
                </c:pt>
                <c:pt idx="47">
                  <c:v>162398.81</c:v>
                </c:pt>
                <c:pt idx="48">
                  <c:v>175055.83</c:v>
                </c:pt>
                <c:pt idx="49">
                  <c:v>180640.71</c:v>
                </c:pt>
                <c:pt idx="50">
                  <c:v>183627.14</c:v>
                </c:pt>
                <c:pt idx="51">
                  <c:v>191310.14</c:v>
                </c:pt>
                <c:pt idx="52">
                  <c:v>196731.42</c:v>
                </c:pt>
                <c:pt idx="53">
                  <c:v>192424.98</c:v>
                </c:pt>
                <c:pt idx="54">
                  <c:v>189044.54</c:v>
                </c:pt>
                <c:pt idx="55">
                  <c:v>201253.81</c:v>
                </c:pt>
                <c:pt idx="56">
                  <c:v>206549.06</c:v>
                </c:pt>
                <c:pt idx="57">
                  <c:v>204163.62</c:v>
                </c:pt>
                <c:pt idx="58">
                  <c:v>207045.8</c:v>
                </c:pt>
                <c:pt idx="59">
                  <c:v>211866.05</c:v>
                </c:pt>
                <c:pt idx="60">
                  <c:v>218448.38</c:v>
                </c:pt>
                <c:pt idx="61">
                  <c:v>222185</c:v>
                </c:pt>
                <c:pt idx="62">
                  <c:v>222449.07</c:v>
                </c:pt>
                <c:pt idx="63">
                  <c:v>325177.46999999997</c:v>
                </c:pt>
                <c:pt idx="64">
                  <c:v>329419.45</c:v>
                </c:pt>
                <c:pt idx="65">
                  <c:v>318755.06</c:v>
                </c:pt>
                <c:pt idx="66">
                  <c:v>329502.62</c:v>
                </c:pt>
                <c:pt idx="67">
                  <c:v>323833.99</c:v>
                </c:pt>
                <c:pt idx="68">
                  <c:v>334446.53999999998</c:v>
                </c:pt>
                <c:pt idx="69">
                  <c:v>323933.77</c:v>
                </c:pt>
                <c:pt idx="70">
                  <c:v>319586.55</c:v>
                </c:pt>
                <c:pt idx="71">
                  <c:v>422621.04</c:v>
                </c:pt>
                <c:pt idx="72">
                  <c:v>399826.35</c:v>
                </c:pt>
                <c:pt idx="73">
                  <c:v>404182.26</c:v>
                </c:pt>
                <c:pt idx="74">
                  <c:v>378955.05</c:v>
                </c:pt>
                <c:pt idx="75">
                  <c:v>395341.91</c:v>
                </c:pt>
                <c:pt idx="76">
                  <c:v>382796.02</c:v>
                </c:pt>
                <c:pt idx="77">
                  <c:v>357259.36</c:v>
                </c:pt>
                <c:pt idx="78">
                  <c:v>374993.63</c:v>
                </c:pt>
                <c:pt idx="79">
                  <c:v>396685.21</c:v>
                </c:pt>
                <c:pt idx="80">
                  <c:v>385734.14</c:v>
                </c:pt>
                <c:pt idx="81">
                  <c:v>402326.67</c:v>
                </c:pt>
                <c:pt idx="82">
                  <c:v>390206.58</c:v>
                </c:pt>
                <c:pt idx="83">
                  <c:v>396440.66</c:v>
                </c:pt>
                <c:pt idx="84">
                  <c:v>401182.89</c:v>
                </c:pt>
                <c:pt idx="85">
                  <c:v>393246.23</c:v>
                </c:pt>
                <c:pt idx="86">
                  <c:v>408061</c:v>
                </c:pt>
                <c:pt idx="87">
                  <c:v>417521.72</c:v>
                </c:pt>
                <c:pt idx="88">
                  <c:v>410999.58</c:v>
                </c:pt>
                <c:pt idx="89">
                  <c:v>396973.48</c:v>
                </c:pt>
                <c:pt idx="90">
                  <c:v>389315.86</c:v>
                </c:pt>
                <c:pt idx="91">
                  <c:v>415432.2</c:v>
                </c:pt>
                <c:pt idx="92">
                  <c:v>434275.6</c:v>
                </c:pt>
                <c:pt idx="93">
                  <c:v>437155.38</c:v>
                </c:pt>
                <c:pt idx="94">
                  <c:v>449092.16</c:v>
                </c:pt>
                <c:pt idx="95">
                  <c:v>465124.12</c:v>
                </c:pt>
                <c:pt idx="96">
                  <c:v>451645.99</c:v>
                </c:pt>
                <c:pt idx="97">
                  <c:v>467250.63</c:v>
                </c:pt>
                <c:pt idx="98">
                  <c:v>470492.77</c:v>
                </c:pt>
                <c:pt idx="99">
                  <c:v>484002.05</c:v>
                </c:pt>
                <c:pt idx="100">
                  <c:v>493219.34</c:v>
                </c:pt>
                <c:pt idx="101">
                  <c:v>497198.08000000002</c:v>
                </c:pt>
                <c:pt idx="102">
                  <c:v>490263.8</c:v>
                </c:pt>
                <c:pt idx="103">
                  <c:v>505649.74</c:v>
                </c:pt>
                <c:pt idx="104">
                  <c:v>485756.8</c:v>
                </c:pt>
                <c:pt idx="105">
                  <c:v>500919</c:v>
                </c:pt>
                <c:pt idx="106">
                  <c:v>501419.62</c:v>
                </c:pt>
              </c:numCache>
            </c:numRef>
          </c:yVal>
          <c:smooth val="0"/>
          <c:extLst>
            <c:ext xmlns:c16="http://schemas.microsoft.com/office/drawing/2014/chart" uri="{C3380CC4-5D6E-409C-BE32-E72D297353CC}">
              <c16:uniqueId val="{00000000-BD53-43EE-BFE3-C6318EF4EECF}"/>
            </c:ext>
          </c:extLst>
        </c:ser>
        <c:dLbls>
          <c:showLegendKey val="0"/>
          <c:showVal val="0"/>
          <c:showCatName val="0"/>
          <c:showSerName val="0"/>
          <c:showPercent val="0"/>
          <c:showBubbleSize val="0"/>
        </c:dLbls>
        <c:axId val="416923440"/>
        <c:axId val="416924224"/>
      </c:scatterChart>
      <c:valAx>
        <c:axId val="416923440"/>
        <c:scaling>
          <c:orientation val="minMax"/>
          <c:max val="45800"/>
          <c:min val="4243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mmm\-yy"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924224"/>
        <c:crosses val="autoZero"/>
        <c:crossBetween val="midCat"/>
        <c:majorUnit val="325"/>
        <c:minorUnit val="100"/>
      </c:valAx>
      <c:valAx>
        <c:axId val="416924224"/>
        <c:scaling>
          <c:orientation val="minMax"/>
          <c:max val="510000"/>
          <c:min val="150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quot;$&quot;* #,##0_);_(&quot;$&quot;* \(#,##0\);_(&quot;$&quot;*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923440"/>
        <c:crosses val="autoZero"/>
        <c:crossBetween val="midCat"/>
        <c:majorUnit val="60000"/>
        <c:minorUnit val="100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Data!$K$525</c:f>
              <c:strCache>
                <c:ptCount val="1"/>
                <c:pt idx="0">
                  <c:v>Investment</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Data!$J$526:$J$628</c:f>
              <c:numCache>
                <c:formatCode>mmm\-yy</c:formatCode>
                <c:ptCount val="103"/>
                <c:pt idx="0">
                  <c:v>42461</c:v>
                </c:pt>
                <c:pt idx="1">
                  <c:v>42491</c:v>
                </c:pt>
                <c:pt idx="2">
                  <c:v>42551</c:v>
                </c:pt>
                <c:pt idx="3">
                  <c:v>42582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pt idx="38">
                  <c:v>43617</c:v>
                </c:pt>
                <c:pt idx="39">
                  <c:v>43647</c:v>
                </c:pt>
                <c:pt idx="40">
                  <c:v>43678</c:v>
                </c:pt>
                <c:pt idx="41">
                  <c:v>43709</c:v>
                </c:pt>
                <c:pt idx="42">
                  <c:v>43739</c:v>
                </c:pt>
                <c:pt idx="43">
                  <c:v>43770</c:v>
                </c:pt>
                <c:pt idx="44">
                  <c:v>43800</c:v>
                </c:pt>
                <c:pt idx="45">
                  <c:v>43831</c:v>
                </c:pt>
                <c:pt idx="46">
                  <c:v>43862</c:v>
                </c:pt>
                <c:pt idx="47">
                  <c:v>43891</c:v>
                </c:pt>
                <c:pt idx="48">
                  <c:v>43922</c:v>
                </c:pt>
                <c:pt idx="49">
                  <c:v>43952</c:v>
                </c:pt>
                <c:pt idx="50">
                  <c:v>43983</c:v>
                </c:pt>
                <c:pt idx="51">
                  <c:v>44013</c:v>
                </c:pt>
                <c:pt idx="52">
                  <c:v>44044</c:v>
                </c:pt>
                <c:pt idx="53">
                  <c:v>44075</c:v>
                </c:pt>
                <c:pt idx="54">
                  <c:v>44105</c:v>
                </c:pt>
                <c:pt idx="55">
                  <c:v>44136</c:v>
                </c:pt>
                <c:pt idx="56">
                  <c:v>44166</c:v>
                </c:pt>
                <c:pt idx="57">
                  <c:v>44197</c:v>
                </c:pt>
                <c:pt idx="58">
                  <c:v>44228</c:v>
                </c:pt>
                <c:pt idx="59">
                  <c:v>44256</c:v>
                </c:pt>
                <c:pt idx="60">
                  <c:v>44287</c:v>
                </c:pt>
                <c:pt idx="61">
                  <c:v>44317</c:v>
                </c:pt>
                <c:pt idx="62">
                  <c:v>44348</c:v>
                </c:pt>
                <c:pt idx="63">
                  <c:v>44378</c:v>
                </c:pt>
                <c:pt idx="64">
                  <c:v>44409</c:v>
                </c:pt>
                <c:pt idx="65">
                  <c:v>44440</c:v>
                </c:pt>
                <c:pt idx="66">
                  <c:v>44470</c:v>
                </c:pt>
                <c:pt idx="67">
                  <c:v>44501</c:v>
                </c:pt>
                <c:pt idx="68">
                  <c:v>44531</c:v>
                </c:pt>
                <c:pt idx="69">
                  <c:v>44562</c:v>
                </c:pt>
                <c:pt idx="70">
                  <c:v>44593</c:v>
                </c:pt>
                <c:pt idx="71">
                  <c:v>44621</c:v>
                </c:pt>
                <c:pt idx="72">
                  <c:v>44652</c:v>
                </c:pt>
                <c:pt idx="73">
                  <c:v>44682</c:v>
                </c:pt>
                <c:pt idx="74">
                  <c:v>44713</c:v>
                </c:pt>
                <c:pt idx="75">
                  <c:v>44743</c:v>
                </c:pt>
                <c:pt idx="76">
                  <c:v>44774</c:v>
                </c:pt>
                <c:pt idx="77">
                  <c:v>44805</c:v>
                </c:pt>
                <c:pt idx="78">
                  <c:v>44835</c:v>
                </c:pt>
                <c:pt idx="79">
                  <c:v>44866</c:v>
                </c:pt>
                <c:pt idx="80">
                  <c:v>44896</c:v>
                </c:pt>
                <c:pt idx="81">
                  <c:v>44927</c:v>
                </c:pt>
                <c:pt idx="82">
                  <c:v>44958</c:v>
                </c:pt>
                <c:pt idx="83">
                  <c:v>44986</c:v>
                </c:pt>
                <c:pt idx="84">
                  <c:v>45017</c:v>
                </c:pt>
                <c:pt idx="85">
                  <c:v>45047</c:v>
                </c:pt>
                <c:pt idx="86">
                  <c:v>45078</c:v>
                </c:pt>
                <c:pt idx="87">
                  <c:v>45108</c:v>
                </c:pt>
                <c:pt idx="88">
                  <c:v>45139</c:v>
                </c:pt>
                <c:pt idx="89">
                  <c:v>45170</c:v>
                </c:pt>
                <c:pt idx="90">
                  <c:v>45200</c:v>
                </c:pt>
                <c:pt idx="91">
                  <c:v>45231</c:v>
                </c:pt>
                <c:pt idx="92">
                  <c:v>45261</c:v>
                </c:pt>
                <c:pt idx="93">
                  <c:v>45292</c:v>
                </c:pt>
                <c:pt idx="94">
                  <c:v>45323</c:v>
                </c:pt>
                <c:pt idx="95">
                  <c:v>45352</c:v>
                </c:pt>
                <c:pt idx="96">
                  <c:v>45383</c:v>
                </c:pt>
                <c:pt idx="97">
                  <c:v>45413</c:v>
                </c:pt>
                <c:pt idx="98">
                  <c:v>45444</c:v>
                </c:pt>
                <c:pt idx="99">
                  <c:v>45474</c:v>
                </c:pt>
                <c:pt idx="100">
                  <c:v>45505</c:v>
                </c:pt>
                <c:pt idx="101">
                  <c:v>45536</c:v>
                </c:pt>
                <c:pt idx="102">
                  <c:v>45566</c:v>
                </c:pt>
              </c:numCache>
            </c:numRef>
          </c:xVal>
          <c:yVal>
            <c:numRef>
              <c:f>Data!$K$526:$K$628</c:f>
              <c:numCache>
                <c:formatCode>_("$"* #,##0_);_("$"* \(#,##0\);_("$"* "-"_);_(@_)</c:formatCode>
                <c:ptCount val="103"/>
                <c:pt idx="0">
                  <c:v>151036</c:v>
                </c:pt>
                <c:pt idx="1">
                  <c:v>151087.09</c:v>
                </c:pt>
                <c:pt idx="2">
                  <c:v>151336.84</c:v>
                </c:pt>
                <c:pt idx="3">
                  <c:v>151611.29999999999</c:v>
                </c:pt>
                <c:pt idx="4">
                  <c:v>151776.70000000001</c:v>
                </c:pt>
                <c:pt idx="5">
                  <c:v>151844.44</c:v>
                </c:pt>
                <c:pt idx="6">
                  <c:v>152036.04</c:v>
                </c:pt>
                <c:pt idx="7">
                  <c:v>152464.91</c:v>
                </c:pt>
                <c:pt idx="8">
                  <c:v>154533.13</c:v>
                </c:pt>
                <c:pt idx="9">
                  <c:v>155633.59</c:v>
                </c:pt>
                <c:pt idx="10">
                  <c:v>158448.25</c:v>
                </c:pt>
                <c:pt idx="11">
                  <c:v>159113.29</c:v>
                </c:pt>
                <c:pt idx="12">
                  <c:v>159614.53</c:v>
                </c:pt>
                <c:pt idx="13">
                  <c:v>160436.21</c:v>
                </c:pt>
                <c:pt idx="14">
                  <c:v>160443.22</c:v>
                </c:pt>
                <c:pt idx="15">
                  <c:v>161526.35999999999</c:v>
                </c:pt>
                <c:pt idx="16">
                  <c:v>162013.01</c:v>
                </c:pt>
                <c:pt idx="17">
                  <c:v>163493.49</c:v>
                </c:pt>
                <c:pt idx="18">
                  <c:v>164090.28</c:v>
                </c:pt>
                <c:pt idx="19">
                  <c:v>164908.01</c:v>
                </c:pt>
                <c:pt idx="20">
                  <c:v>164937.87</c:v>
                </c:pt>
                <c:pt idx="21">
                  <c:v>167966.33</c:v>
                </c:pt>
                <c:pt idx="22">
                  <c:v>164746.72</c:v>
                </c:pt>
                <c:pt idx="23">
                  <c:v>163400.39000000001</c:v>
                </c:pt>
                <c:pt idx="24">
                  <c:v>163874.63</c:v>
                </c:pt>
                <c:pt idx="25">
                  <c:v>165109.67000000001</c:v>
                </c:pt>
                <c:pt idx="26">
                  <c:v>164894.5</c:v>
                </c:pt>
                <c:pt idx="27">
                  <c:v>168308.43</c:v>
                </c:pt>
                <c:pt idx="28">
                  <c:v>169314.31</c:v>
                </c:pt>
                <c:pt idx="29">
                  <c:v>170138.99</c:v>
                </c:pt>
                <c:pt idx="30">
                  <c:v>164332.01</c:v>
                </c:pt>
                <c:pt idx="31">
                  <c:v>166031.76999999999</c:v>
                </c:pt>
                <c:pt idx="32">
                  <c:v>159621.23000000001</c:v>
                </c:pt>
                <c:pt idx="33">
                  <c:v>166873.93</c:v>
                </c:pt>
                <c:pt idx="34">
                  <c:v>170486.28</c:v>
                </c:pt>
                <c:pt idx="35">
                  <c:v>171537.16</c:v>
                </c:pt>
                <c:pt idx="36">
                  <c:v>174601.21</c:v>
                </c:pt>
                <c:pt idx="37">
                  <c:v>169831.32</c:v>
                </c:pt>
                <c:pt idx="38">
                  <c:v>175962.43</c:v>
                </c:pt>
                <c:pt idx="39">
                  <c:v>176392.07</c:v>
                </c:pt>
                <c:pt idx="40">
                  <c:v>174581</c:v>
                </c:pt>
                <c:pt idx="41">
                  <c:v>175832.82</c:v>
                </c:pt>
                <c:pt idx="42">
                  <c:v>176684.91</c:v>
                </c:pt>
                <c:pt idx="43">
                  <c:v>180686.55</c:v>
                </c:pt>
                <c:pt idx="44">
                  <c:v>184417.26</c:v>
                </c:pt>
                <c:pt idx="45">
                  <c:v>186588.03</c:v>
                </c:pt>
                <c:pt idx="46">
                  <c:v>177685.24</c:v>
                </c:pt>
                <c:pt idx="47">
                  <c:v>162398.81</c:v>
                </c:pt>
                <c:pt idx="48">
                  <c:v>175055.83</c:v>
                </c:pt>
                <c:pt idx="49">
                  <c:v>180640.71</c:v>
                </c:pt>
                <c:pt idx="50">
                  <c:v>183627.14</c:v>
                </c:pt>
                <c:pt idx="51">
                  <c:v>191310.14</c:v>
                </c:pt>
                <c:pt idx="52">
                  <c:v>196731.42</c:v>
                </c:pt>
                <c:pt idx="53">
                  <c:v>192424.98</c:v>
                </c:pt>
                <c:pt idx="54">
                  <c:v>189044.54</c:v>
                </c:pt>
                <c:pt idx="55">
                  <c:v>201253.81</c:v>
                </c:pt>
                <c:pt idx="56">
                  <c:v>206549.06</c:v>
                </c:pt>
                <c:pt idx="57">
                  <c:v>204163.62</c:v>
                </c:pt>
                <c:pt idx="58">
                  <c:v>207045.8</c:v>
                </c:pt>
                <c:pt idx="59">
                  <c:v>211866.05</c:v>
                </c:pt>
                <c:pt idx="60">
                  <c:v>218448.38</c:v>
                </c:pt>
                <c:pt idx="61">
                  <c:v>222185</c:v>
                </c:pt>
                <c:pt idx="62">
                  <c:v>222449.07</c:v>
                </c:pt>
                <c:pt idx="63">
                  <c:v>325177.46999999997</c:v>
                </c:pt>
                <c:pt idx="64">
                  <c:v>329419.45</c:v>
                </c:pt>
                <c:pt idx="65">
                  <c:v>318755.06</c:v>
                </c:pt>
                <c:pt idx="66">
                  <c:v>329502.62</c:v>
                </c:pt>
                <c:pt idx="67">
                  <c:v>323833.99</c:v>
                </c:pt>
                <c:pt idx="68">
                  <c:v>334446.53999999998</c:v>
                </c:pt>
                <c:pt idx="69">
                  <c:v>323933.77</c:v>
                </c:pt>
                <c:pt idx="70">
                  <c:v>319586.55</c:v>
                </c:pt>
                <c:pt idx="71">
                  <c:v>422621.04</c:v>
                </c:pt>
                <c:pt idx="72">
                  <c:v>399826.35</c:v>
                </c:pt>
                <c:pt idx="73">
                  <c:v>404182.26</c:v>
                </c:pt>
                <c:pt idx="74">
                  <c:v>378955.05</c:v>
                </c:pt>
                <c:pt idx="75">
                  <c:v>395341.91</c:v>
                </c:pt>
                <c:pt idx="76">
                  <c:v>382796.02</c:v>
                </c:pt>
                <c:pt idx="77">
                  <c:v>357259.36</c:v>
                </c:pt>
                <c:pt idx="78">
                  <c:v>374993.63</c:v>
                </c:pt>
                <c:pt idx="79">
                  <c:v>396685.21</c:v>
                </c:pt>
                <c:pt idx="80">
                  <c:v>385734.14</c:v>
                </c:pt>
                <c:pt idx="81">
                  <c:v>402326.67</c:v>
                </c:pt>
                <c:pt idx="82">
                  <c:v>390206.58</c:v>
                </c:pt>
                <c:pt idx="83">
                  <c:v>396440.66</c:v>
                </c:pt>
                <c:pt idx="84">
                  <c:v>401182.89</c:v>
                </c:pt>
                <c:pt idx="85">
                  <c:v>393246.23</c:v>
                </c:pt>
                <c:pt idx="86">
                  <c:v>408061</c:v>
                </c:pt>
                <c:pt idx="87">
                  <c:v>417521.72</c:v>
                </c:pt>
                <c:pt idx="88">
                  <c:v>410999.58</c:v>
                </c:pt>
                <c:pt idx="89">
                  <c:v>396973.48</c:v>
                </c:pt>
                <c:pt idx="90">
                  <c:v>389315.86</c:v>
                </c:pt>
                <c:pt idx="91">
                  <c:v>415432.2</c:v>
                </c:pt>
                <c:pt idx="92">
                  <c:v>434275.6</c:v>
                </c:pt>
                <c:pt idx="93">
                  <c:v>437155.38</c:v>
                </c:pt>
                <c:pt idx="94">
                  <c:v>449092.16</c:v>
                </c:pt>
                <c:pt idx="95">
                  <c:v>465124.12</c:v>
                </c:pt>
                <c:pt idx="96">
                  <c:v>451645.99</c:v>
                </c:pt>
                <c:pt idx="97">
                  <c:v>467250.63</c:v>
                </c:pt>
                <c:pt idx="98">
                  <c:v>470492.77</c:v>
                </c:pt>
                <c:pt idx="99">
                  <c:v>484002.05</c:v>
                </c:pt>
                <c:pt idx="100">
                  <c:v>493219.34</c:v>
                </c:pt>
                <c:pt idx="101">
                  <c:v>497198.08000000002</c:v>
                </c:pt>
                <c:pt idx="102">
                  <c:v>490263.8</c:v>
                </c:pt>
              </c:numCache>
            </c:numRef>
          </c:yVal>
          <c:smooth val="0"/>
          <c:extLst>
            <c:ext xmlns:c16="http://schemas.microsoft.com/office/drawing/2014/chart" uri="{C3380CC4-5D6E-409C-BE32-E72D297353CC}">
              <c16:uniqueId val="{00000000-312A-42D5-B65F-B9BEC3C77321}"/>
            </c:ext>
          </c:extLst>
        </c:ser>
        <c:dLbls>
          <c:showLegendKey val="0"/>
          <c:showVal val="0"/>
          <c:showCatName val="0"/>
          <c:showSerName val="0"/>
          <c:showPercent val="0"/>
          <c:showBubbleSize val="0"/>
        </c:dLbls>
        <c:axId val="416918344"/>
        <c:axId val="414609576"/>
      </c:scatterChart>
      <c:valAx>
        <c:axId val="416918344"/>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609576"/>
        <c:crosses val="autoZero"/>
        <c:crossBetween val="midCat"/>
      </c:valAx>
      <c:valAx>
        <c:axId val="4146095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91834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Columbia County Community Healthcare Consortium</a:t>
            </a:r>
          </a:p>
          <a:p>
            <a:pPr>
              <a:defRPr/>
            </a:pPr>
            <a:r>
              <a:rPr lang="en-US"/>
              <a:t>Accounts Receivable Aging</a:t>
            </a:r>
          </a:p>
        </c:rich>
      </c:tx>
      <c:layout>
        <c:manualLayout>
          <c:xMode val="edge"/>
          <c:yMode val="edge"/>
          <c:x val="0.15915876524715153"/>
          <c:y val="2.6147135530129081E-2"/>
        </c:manualLayout>
      </c:layout>
      <c:overlay val="0"/>
    </c:title>
    <c:autoTitleDeleted val="0"/>
    <c:plotArea>
      <c:layout>
        <c:manualLayout>
          <c:layoutTarget val="inner"/>
          <c:xMode val="edge"/>
          <c:yMode val="edge"/>
          <c:x val="8.4280366593520228E-2"/>
          <c:y val="0.14469248514323002"/>
          <c:w val="0.65027407695711248"/>
          <c:h val="0.70000490438768714"/>
        </c:manualLayout>
      </c:layout>
      <c:barChart>
        <c:barDir val="col"/>
        <c:grouping val="stacked"/>
        <c:varyColors val="0"/>
        <c:ser>
          <c:idx val="0"/>
          <c:order val="0"/>
          <c:spPr>
            <a:solidFill>
              <a:srgbClr val="0070C0"/>
            </a:solidFill>
          </c:spPr>
          <c:invertIfNegative val="0"/>
          <c:val>
            <c:numRef>
              <c:f>'[3]February''25 AR Aging '!$D$202:$O$202</c:f>
              <c:numCache>
                <c:formatCode>General</c:formatCode>
                <c:ptCount val="12"/>
              </c:numCache>
            </c:numRef>
          </c:val>
          <c:extLst>
            <c:ext xmlns:c15="http://schemas.microsoft.com/office/drawing/2012/chart" uri="{02D57815-91ED-43cb-92C2-25804820EDAC}">
              <c15:filteredSeriesTitle>
                <c15:tx>
                  <c:strRef>
                    <c:extLst>
                      <c:ext uri="{02D57815-91ED-43cb-92C2-25804820EDAC}">
                        <c15:formulaRef>
                          <c15:sqref>'[3]February''25 AR Aging '!$C$195</c15:sqref>
                        </c15:formulaRef>
                      </c:ext>
                    </c:extLst>
                    <c:strCache>
                      <c:ptCount val="1"/>
                      <c:pt idx="0">
                        <c:v>Current Month</c:v>
                      </c:pt>
                    </c:strCache>
                  </c:strRef>
                </c15:tx>
              </c15:filteredSeriesTitle>
            </c:ext>
            <c:ext xmlns:c15="http://schemas.microsoft.com/office/drawing/2012/chart" uri="{02D57815-91ED-43cb-92C2-25804820EDAC}">
              <c15:filteredCategoryTitle>
                <c15:cat>
                  <c:numRef>
                    <c:extLst>
                      <c:ext uri="{02D57815-91ED-43cb-92C2-25804820EDAC}">
                        <c15:formulaRef>
                          <c15:sqref>'[3]February''25 AR Aging '!$D$201:$O$201</c15:sqref>
                        </c15:formulaRef>
                      </c:ext>
                    </c:extLst>
                    <c:numCache>
                      <c:formatCode>General</c:formatCode>
                      <c:ptCount val="12"/>
                    </c:numCache>
                  </c:numRef>
                </c15:cat>
              </c15:filteredCategoryTitle>
            </c:ext>
            <c:ext xmlns:c16="http://schemas.microsoft.com/office/drawing/2014/chart" uri="{C3380CC4-5D6E-409C-BE32-E72D297353CC}">
              <c16:uniqueId val="{00000000-8ADA-44C9-8F2E-7AFAD44AA540}"/>
            </c:ext>
          </c:extLst>
        </c:ser>
        <c:ser>
          <c:idx val="1"/>
          <c:order val="1"/>
          <c:spPr>
            <a:solidFill>
              <a:schemeClr val="accent6">
                <a:lumMod val="40000"/>
                <a:lumOff val="60000"/>
              </a:schemeClr>
            </a:solidFill>
          </c:spPr>
          <c:invertIfNegative val="0"/>
          <c:val>
            <c:numRef>
              <c:f>'[3]February''25 AR Aging '!$D$203:$O$203</c:f>
              <c:numCache>
                <c:formatCode>General</c:formatCode>
                <c:ptCount val="12"/>
              </c:numCache>
            </c:numRef>
          </c:val>
          <c:extLst>
            <c:ext xmlns:c15="http://schemas.microsoft.com/office/drawing/2012/chart" uri="{02D57815-91ED-43cb-92C2-25804820EDAC}">
              <c15:filteredSeriesTitle>
                <c15:tx>
                  <c:strRef>
                    <c:extLst>
                      <c:ext uri="{02D57815-91ED-43cb-92C2-25804820EDAC}">
                        <c15:formulaRef>
                          <c15:sqref>'[3]February''25 AR Aging '!$C$196</c15:sqref>
                        </c15:formulaRef>
                      </c:ext>
                    </c:extLst>
                    <c:strCache>
                      <c:ptCount val="1"/>
                      <c:pt idx="0">
                        <c:v>Previous Month</c:v>
                      </c:pt>
                    </c:strCache>
                  </c:strRef>
                </c15:tx>
              </c15:filteredSeriesTitle>
            </c:ext>
            <c:ext xmlns:c15="http://schemas.microsoft.com/office/drawing/2012/chart" uri="{02D57815-91ED-43cb-92C2-25804820EDAC}">
              <c15:filteredCategoryTitle>
                <c15:cat>
                  <c:numRef>
                    <c:extLst>
                      <c:ext uri="{02D57815-91ED-43cb-92C2-25804820EDAC}">
                        <c15:formulaRef>
                          <c15:sqref>'[3]February''25 AR Aging '!$D$201:$O$201</c15:sqref>
                        </c15:formulaRef>
                      </c:ext>
                    </c:extLst>
                    <c:numCache>
                      <c:formatCode>General</c:formatCode>
                      <c:ptCount val="12"/>
                    </c:numCache>
                  </c:numRef>
                </c15:cat>
              </c15:filteredCategoryTitle>
            </c:ext>
            <c:ext xmlns:c16="http://schemas.microsoft.com/office/drawing/2014/chart" uri="{C3380CC4-5D6E-409C-BE32-E72D297353CC}">
              <c16:uniqueId val="{00000001-8ADA-44C9-8F2E-7AFAD44AA540}"/>
            </c:ext>
          </c:extLst>
        </c:ser>
        <c:ser>
          <c:idx val="2"/>
          <c:order val="2"/>
          <c:spPr>
            <a:solidFill>
              <a:schemeClr val="accent3">
                <a:lumMod val="75000"/>
              </a:schemeClr>
            </a:solidFill>
          </c:spPr>
          <c:invertIfNegative val="0"/>
          <c:val>
            <c:numRef>
              <c:f>'[3]February''25 AR Aging '!$D$204:$O$204</c:f>
              <c:numCache>
                <c:formatCode>General</c:formatCode>
                <c:ptCount val="12"/>
              </c:numCache>
            </c:numRef>
          </c:val>
          <c:extLst>
            <c:ext xmlns:c15="http://schemas.microsoft.com/office/drawing/2012/chart" uri="{02D57815-91ED-43cb-92C2-25804820EDAC}">
              <c15:filteredSeriesTitle>
                <c15:tx>
                  <c:strRef>
                    <c:extLst>
                      <c:ext uri="{02D57815-91ED-43cb-92C2-25804820EDAC}">
                        <c15:formulaRef>
                          <c15:sqref>'[3]February''25 AR Aging '!$C$197</c15:sqref>
                        </c15:formulaRef>
                      </c:ext>
                    </c:extLst>
                    <c:strCache>
                      <c:ptCount val="1"/>
                      <c:pt idx="0">
                        <c:v>Three Months Ago</c:v>
                      </c:pt>
                    </c:strCache>
                  </c:strRef>
                </c15:tx>
              </c15:filteredSeriesTitle>
            </c:ext>
            <c:ext xmlns:c15="http://schemas.microsoft.com/office/drawing/2012/chart" uri="{02D57815-91ED-43cb-92C2-25804820EDAC}">
              <c15:filteredCategoryTitle>
                <c15:cat>
                  <c:numRef>
                    <c:extLst>
                      <c:ext uri="{02D57815-91ED-43cb-92C2-25804820EDAC}">
                        <c15:formulaRef>
                          <c15:sqref>'[3]February''25 AR Aging '!$D$201:$O$201</c15:sqref>
                        </c15:formulaRef>
                      </c:ext>
                    </c:extLst>
                    <c:numCache>
                      <c:formatCode>General</c:formatCode>
                      <c:ptCount val="12"/>
                    </c:numCache>
                  </c:numRef>
                </c15:cat>
              </c15:filteredCategoryTitle>
            </c:ext>
            <c:ext xmlns:c16="http://schemas.microsoft.com/office/drawing/2014/chart" uri="{C3380CC4-5D6E-409C-BE32-E72D297353CC}">
              <c16:uniqueId val="{00000002-8ADA-44C9-8F2E-7AFAD44AA540}"/>
            </c:ext>
          </c:extLst>
        </c:ser>
        <c:ser>
          <c:idx val="3"/>
          <c:order val="3"/>
          <c:spPr>
            <a:solidFill>
              <a:schemeClr val="accent4">
                <a:lumMod val="40000"/>
                <a:lumOff val="60000"/>
              </a:schemeClr>
            </a:solidFill>
          </c:spPr>
          <c:invertIfNegative val="0"/>
          <c:val>
            <c:numRef>
              <c:f>'[3]February''25 AR Aging '!$D$205:$O$205</c:f>
              <c:numCache>
                <c:formatCode>General</c:formatCode>
                <c:ptCount val="12"/>
              </c:numCache>
            </c:numRef>
          </c:val>
          <c:extLst>
            <c:ext xmlns:c15="http://schemas.microsoft.com/office/drawing/2012/chart" uri="{02D57815-91ED-43cb-92C2-25804820EDAC}">
              <c15:filteredSeriesTitle>
                <c15:tx>
                  <c:strRef>
                    <c:extLst>
                      <c:ext uri="{02D57815-91ED-43cb-92C2-25804820EDAC}">
                        <c15:formulaRef>
                          <c15:sqref>'[3]February''25 AR Aging '!$C$198</c15:sqref>
                        </c15:formulaRef>
                      </c:ext>
                    </c:extLst>
                    <c:strCache>
                      <c:ptCount val="1"/>
                      <c:pt idx="0">
                        <c:v>Older than Three Months</c:v>
                      </c:pt>
                    </c:strCache>
                  </c:strRef>
                </c15:tx>
              </c15:filteredSeriesTitle>
            </c:ext>
            <c:ext xmlns:c15="http://schemas.microsoft.com/office/drawing/2012/chart" uri="{02D57815-91ED-43cb-92C2-25804820EDAC}">
              <c15:filteredCategoryTitle>
                <c15:cat>
                  <c:numRef>
                    <c:extLst>
                      <c:ext uri="{02D57815-91ED-43cb-92C2-25804820EDAC}">
                        <c15:formulaRef>
                          <c15:sqref>'[3]February''25 AR Aging '!$D$201:$O$201</c15:sqref>
                        </c15:formulaRef>
                      </c:ext>
                    </c:extLst>
                    <c:numCache>
                      <c:formatCode>General</c:formatCode>
                      <c:ptCount val="12"/>
                    </c:numCache>
                  </c:numRef>
                </c15:cat>
              </c15:filteredCategoryTitle>
            </c:ext>
            <c:ext xmlns:c16="http://schemas.microsoft.com/office/drawing/2014/chart" uri="{C3380CC4-5D6E-409C-BE32-E72D297353CC}">
              <c16:uniqueId val="{00000003-8ADA-44C9-8F2E-7AFAD44AA540}"/>
            </c:ext>
          </c:extLst>
        </c:ser>
        <c:dLbls>
          <c:showLegendKey val="0"/>
          <c:showVal val="0"/>
          <c:showCatName val="0"/>
          <c:showSerName val="0"/>
          <c:showPercent val="0"/>
          <c:showBubbleSize val="0"/>
        </c:dLbls>
        <c:gapWidth val="56"/>
        <c:overlap val="100"/>
        <c:axId val="414608400"/>
        <c:axId val="414609184"/>
      </c:barChart>
      <c:catAx>
        <c:axId val="414608400"/>
        <c:scaling>
          <c:orientation val="minMax"/>
        </c:scaling>
        <c:delete val="0"/>
        <c:axPos val="b"/>
        <c:numFmt formatCode="General" sourceLinked="1"/>
        <c:majorTickMark val="none"/>
        <c:minorTickMark val="none"/>
        <c:tickLblPos val="nextTo"/>
        <c:spPr>
          <a:noFill/>
          <a:ln w="22225"/>
        </c:spPr>
        <c:crossAx val="414609184"/>
        <c:crosses val="autoZero"/>
        <c:auto val="0"/>
        <c:lblAlgn val="ctr"/>
        <c:lblOffset val="100"/>
        <c:tickLblSkip val="1"/>
        <c:noMultiLvlLbl val="0"/>
      </c:catAx>
      <c:valAx>
        <c:axId val="414609184"/>
        <c:scaling>
          <c:orientation val="minMax"/>
        </c:scaling>
        <c:delete val="0"/>
        <c:axPos val="l"/>
        <c:majorGridlines/>
        <c:numFmt formatCode="General" sourceLinked="1"/>
        <c:majorTickMark val="none"/>
        <c:minorTickMark val="none"/>
        <c:tickLblPos val="nextTo"/>
        <c:crossAx val="414608400"/>
        <c:crosses val="autoZero"/>
        <c:crossBetween val="between"/>
      </c:valAx>
    </c:plotArea>
    <c:legend>
      <c:legendPos val="r"/>
      <c:overlay val="0"/>
    </c:legend>
    <c:plotVisOnly val="1"/>
    <c:dispBlanksAs val="gap"/>
    <c:showDLblsOverMax val="0"/>
  </c:chart>
  <c:printSettings>
    <c:headerFooter/>
    <c:pageMargins b="0.75000000000000167" l="0.95000000000000062" r="0.95000000000000062" t="0.75000000000000167"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Columbia County Community Healthcare Consortium</a:t>
            </a:r>
          </a:p>
          <a:p>
            <a:pPr>
              <a:defRPr/>
            </a:pPr>
            <a:r>
              <a:rPr lang="en-US"/>
              <a:t>Accounts Receivable Aging</a:t>
            </a:r>
          </a:p>
        </c:rich>
      </c:tx>
      <c:layout>
        <c:manualLayout>
          <c:xMode val="edge"/>
          <c:yMode val="edge"/>
          <c:x val="0.15915876524715153"/>
          <c:y val="2.6147135530129081E-2"/>
        </c:manualLayout>
      </c:layout>
      <c:overlay val="0"/>
    </c:title>
    <c:autoTitleDeleted val="0"/>
    <c:plotArea>
      <c:layout>
        <c:manualLayout>
          <c:layoutTarget val="inner"/>
          <c:xMode val="edge"/>
          <c:yMode val="edge"/>
          <c:x val="8.4280366593520228E-2"/>
          <c:y val="0.14469248514323002"/>
          <c:w val="0.65027407695711248"/>
          <c:h val="0.70000490438768714"/>
        </c:manualLayout>
      </c:layout>
      <c:barChart>
        <c:barDir val="col"/>
        <c:grouping val="stacked"/>
        <c:varyColors val="0"/>
        <c:ser>
          <c:idx val="0"/>
          <c:order val="0"/>
          <c:tx>
            <c:strRef>
              <c:f>'December''24 AR Aging '!$C$231</c:f>
              <c:strCache>
                <c:ptCount val="1"/>
                <c:pt idx="0">
                  <c:v>Current Month</c:v>
                </c:pt>
              </c:strCache>
            </c:strRef>
          </c:tx>
          <c:spPr>
            <a:solidFill>
              <a:srgbClr val="0070C0"/>
            </a:solidFill>
          </c:spPr>
          <c:invertIfNegative val="0"/>
          <c:val>
            <c:numRef>
              <c:f>'December''24 AR Aging '!$D$238:$O$238</c:f>
              <c:numCache>
                <c:formatCode>General</c:formatCode>
                <c:ptCount val="11"/>
              </c:numCache>
            </c:numRef>
          </c:val>
          <c:extLst>
            <c:ext xmlns:c15="http://schemas.microsoft.com/office/drawing/2012/chart" uri="{02D57815-91ED-43cb-92C2-25804820EDAC}">
              <c15:filteredCategoryTitle>
                <c15:cat>
                  <c:numRef>
                    <c:extLst>
                      <c:ext uri="{02D57815-91ED-43cb-92C2-25804820EDAC}">
                        <c15:formulaRef>
                          <c15:sqref>'December''24 AR Aging '!$D$237:$O$237</c15:sqref>
                        </c15:formulaRef>
                      </c:ext>
                    </c:extLst>
                    <c:numCache>
                      <c:formatCode>General</c:formatCode>
                      <c:ptCount val="11"/>
                    </c:numCache>
                  </c:numRef>
                </c15:cat>
              </c15:filteredCategoryTitle>
            </c:ext>
            <c:ext xmlns:c16="http://schemas.microsoft.com/office/drawing/2014/chart" uri="{C3380CC4-5D6E-409C-BE32-E72D297353CC}">
              <c16:uniqueId val="{00000000-0123-4EB4-86F4-5B3293A5D00E}"/>
            </c:ext>
          </c:extLst>
        </c:ser>
        <c:ser>
          <c:idx val="1"/>
          <c:order val="1"/>
          <c:tx>
            <c:strRef>
              <c:f>'December''24 AR Aging '!$C$232</c:f>
              <c:strCache>
                <c:ptCount val="1"/>
                <c:pt idx="0">
                  <c:v>Previous Month</c:v>
                </c:pt>
              </c:strCache>
            </c:strRef>
          </c:tx>
          <c:spPr>
            <a:solidFill>
              <a:schemeClr val="accent6">
                <a:lumMod val="40000"/>
                <a:lumOff val="60000"/>
              </a:schemeClr>
            </a:solidFill>
          </c:spPr>
          <c:invertIfNegative val="0"/>
          <c:val>
            <c:numRef>
              <c:f>'December''24 AR Aging '!$D$239:$O$239</c:f>
              <c:numCache>
                <c:formatCode>General</c:formatCode>
                <c:ptCount val="11"/>
              </c:numCache>
            </c:numRef>
          </c:val>
          <c:extLst>
            <c:ext xmlns:c15="http://schemas.microsoft.com/office/drawing/2012/chart" uri="{02D57815-91ED-43cb-92C2-25804820EDAC}">
              <c15:filteredCategoryTitle>
                <c15:cat>
                  <c:numRef>
                    <c:extLst>
                      <c:ext uri="{02D57815-91ED-43cb-92C2-25804820EDAC}">
                        <c15:formulaRef>
                          <c15:sqref>'December''24 AR Aging '!$D$237:$O$237</c15:sqref>
                        </c15:formulaRef>
                      </c:ext>
                    </c:extLst>
                    <c:numCache>
                      <c:formatCode>General</c:formatCode>
                      <c:ptCount val="11"/>
                    </c:numCache>
                  </c:numRef>
                </c15:cat>
              </c15:filteredCategoryTitle>
            </c:ext>
            <c:ext xmlns:c16="http://schemas.microsoft.com/office/drawing/2014/chart" uri="{C3380CC4-5D6E-409C-BE32-E72D297353CC}">
              <c16:uniqueId val="{00000001-0123-4EB4-86F4-5B3293A5D00E}"/>
            </c:ext>
          </c:extLst>
        </c:ser>
        <c:ser>
          <c:idx val="2"/>
          <c:order val="2"/>
          <c:tx>
            <c:strRef>
              <c:f>'December''24 AR Aging '!$C$233</c:f>
              <c:strCache>
                <c:ptCount val="1"/>
                <c:pt idx="0">
                  <c:v>Three Months Ago</c:v>
                </c:pt>
              </c:strCache>
            </c:strRef>
          </c:tx>
          <c:spPr>
            <a:solidFill>
              <a:schemeClr val="accent3">
                <a:lumMod val="75000"/>
              </a:schemeClr>
            </a:solidFill>
          </c:spPr>
          <c:invertIfNegative val="0"/>
          <c:val>
            <c:numRef>
              <c:f>'December''24 AR Aging '!$D$240:$O$240</c:f>
              <c:numCache>
                <c:formatCode>General</c:formatCode>
                <c:ptCount val="11"/>
              </c:numCache>
            </c:numRef>
          </c:val>
          <c:extLst>
            <c:ext xmlns:c15="http://schemas.microsoft.com/office/drawing/2012/chart" uri="{02D57815-91ED-43cb-92C2-25804820EDAC}">
              <c15:filteredCategoryTitle>
                <c15:cat>
                  <c:numRef>
                    <c:extLst>
                      <c:ext uri="{02D57815-91ED-43cb-92C2-25804820EDAC}">
                        <c15:formulaRef>
                          <c15:sqref>'December''24 AR Aging '!$D$237:$O$237</c15:sqref>
                        </c15:formulaRef>
                      </c:ext>
                    </c:extLst>
                    <c:numCache>
                      <c:formatCode>General</c:formatCode>
                      <c:ptCount val="11"/>
                    </c:numCache>
                  </c:numRef>
                </c15:cat>
              </c15:filteredCategoryTitle>
            </c:ext>
            <c:ext xmlns:c16="http://schemas.microsoft.com/office/drawing/2014/chart" uri="{C3380CC4-5D6E-409C-BE32-E72D297353CC}">
              <c16:uniqueId val="{00000002-0123-4EB4-86F4-5B3293A5D00E}"/>
            </c:ext>
          </c:extLst>
        </c:ser>
        <c:ser>
          <c:idx val="3"/>
          <c:order val="3"/>
          <c:tx>
            <c:strRef>
              <c:f>'December''24 AR Aging '!$C$234</c:f>
              <c:strCache>
                <c:ptCount val="1"/>
                <c:pt idx="0">
                  <c:v>Older than Three Months</c:v>
                </c:pt>
              </c:strCache>
            </c:strRef>
          </c:tx>
          <c:spPr>
            <a:solidFill>
              <a:schemeClr val="accent4">
                <a:lumMod val="40000"/>
                <a:lumOff val="60000"/>
              </a:schemeClr>
            </a:solidFill>
          </c:spPr>
          <c:invertIfNegative val="0"/>
          <c:val>
            <c:numRef>
              <c:f>'December''24 AR Aging '!$D$241:$O$241</c:f>
              <c:numCache>
                <c:formatCode>General</c:formatCode>
                <c:ptCount val="11"/>
              </c:numCache>
            </c:numRef>
          </c:val>
          <c:extLst>
            <c:ext xmlns:c15="http://schemas.microsoft.com/office/drawing/2012/chart" uri="{02D57815-91ED-43cb-92C2-25804820EDAC}">
              <c15:filteredCategoryTitle>
                <c15:cat>
                  <c:numRef>
                    <c:extLst>
                      <c:ext uri="{02D57815-91ED-43cb-92C2-25804820EDAC}">
                        <c15:formulaRef>
                          <c15:sqref>'December''24 AR Aging '!$D$237:$O$237</c15:sqref>
                        </c15:formulaRef>
                      </c:ext>
                    </c:extLst>
                    <c:numCache>
                      <c:formatCode>General</c:formatCode>
                      <c:ptCount val="11"/>
                    </c:numCache>
                  </c:numRef>
                </c15:cat>
              </c15:filteredCategoryTitle>
            </c:ext>
            <c:ext xmlns:c16="http://schemas.microsoft.com/office/drawing/2014/chart" uri="{C3380CC4-5D6E-409C-BE32-E72D297353CC}">
              <c16:uniqueId val="{00000003-0123-4EB4-86F4-5B3293A5D00E}"/>
            </c:ext>
          </c:extLst>
        </c:ser>
        <c:dLbls>
          <c:showLegendKey val="0"/>
          <c:showVal val="0"/>
          <c:showCatName val="0"/>
          <c:showSerName val="0"/>
          <c:showPercent val="0"/>
          <c:showBubbleSize val="0"/>
        </c:dLbls>
        <c:gapWidth val="56"/>
        <c:overlap val="100"/>
        <c:axId val="414608400"/>
        <c:axId val="414609184"/>
      </c:barChart>
      <c:catAx>
        <c:axId val="414608400"/>
        <c:scaling>
          <c:orientation val="minMax"/>
        </c:scaling>
        <c:delete val="0"/>
        <c:axPos val="b"/>
        <c:numFmt formatCode="General" sourceLinked="1"/>
        <c:majorTickMark val="none"/>
        <c:minorTickMark val="none"/>
        <c:tickLblPos val="nextTo"/>
        <c:spPr>
          <a:noFill/>
          <a:ln w="22225"/>
        </c:spPr>
        <c:crossAx val="414609184"/>
        <c:crosses val="autoZero"/>
        <c:auto val="0"/>
        <c:lblAlgn val="ctr"/>
        <c:lblOffset val="100"/>
        <c:tickLblSkip val="1"/>
        <c:noMultiLvlLbl val="0"/>
      </c:catAx>
      <c:valAx>
        <c:axId val="414609184"/>
        <c:scaling>
          <c:orientation val="minMax"/>
        </c:scaling>
        <c:delete val="0"/>
        <c:axPos val="l"/>
        <c:majorGridlines/>
        <c:numFmt formatCode="General" sourceLinked="1"/>
        <c:majorTickMark val="none"/>
        <c:minorTickMark val="none"/>
        <c:tickLblPos val="nextTo"/>
        <c:crossAx val="414608400"/>
        <c:crosses val="autoZero"/>
        <c:crossBetween val="between"/>
      </c:valAx>
    </c:plotArea>
    <c:legend>
      <c:legendPos val="r"/>
      <c:overlay val="0"/>
    </c:legend>
    <c:plotVisOnly val="1"/>
    <c:dispBlanksAs val="gap"/>
    <c:showDLblsOverMax val="0"/>
  </c:chart>
  <c:printSettings>
    <c:headerFooter/>
    <c:pageMargins b="0.75000000000000167" l="0.95000000000000062" r="0.95000000000000062" t="0.75000000000000167" header="0.30000000000000032" footer="0.30000000000000032"/>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228600</xdr:colOff>
      <xdr:row>5</xdr:row>
      <xdr:rowOff>0</xdr:rowOff>
    </xdr:from>
    <xdr:to>
      <xdr:col>7</xdr:col>
      <xdr:colOff>838200</xdr:colOff>
      <xdr:row>7</xdr:row>
      <xdr:rowOff>942975</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17</xdr:row>
      <xdr:rowOff>180976</xdr:rowOff>
    </xdr:from>
    <xdr:to>
      <xdr:col>7</xdr:col>
      <xdr:colOff>981075</xdr:colOff>
      <xdr:row>20</xdr:row>
      <xdr:rowOff>1028701</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24</xdr:row>
      <xdr:rowOff>28575</xdr:rowOff>
    </xdr:from>
    <xdr:to>
      <xdr:col>8</xdr:col>
      <xdr:colOff>0</xdr:colOff>
      <xdr:row>31</xdr:row>
      <xdr:rowOff>171450</xdr:rowOff>
    </xdr:to>
    <xdr:graphicFrame macro="">
      <xdr:nvGraphicFramePr>
        <xdr:cNvPr id="8" name="Chart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333375</xdr:colOff>
      <xdr:row>535</xdr:row>
      <xdr:rowOff>166687</xdr:rowOff>
    </xdr:from>
    <xdr:to>
      <xdr:col>20</xdr:col>
      <xdr:colOff>104775</xdr:colOff>
      <xdr:row>551</xdr:row>
      <xdr:rowOff>14287</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3695700</xdr:colOff>
      <xdr:row>188</xdr:row>
      <xdr:rowOff>47625</xdr:rowOff>
    </xdr:from>
    <xdr:to>
      <xdr:col>9</xdr:col>
      <xdr:colOff>523875</xdr:colOff>
      <xdr:row>225</xdr:row>
      <xdr:rowOff>19049</xdr:rowOff>
    </xdr:to>
    <xdr:graphicFrame macro="">
      <xdr:nvGraphicFramePr>
        <xdr:cNvPr id="2" name="Chart 1">
          <a:extLst>
            <a:ext uri="{FF2B5EF4-FFF2-40B4-BE49-F238E27FC236}">
              <a16:creationId xmlns:a16="http://schemas.microsoft.com/office/drawing/2014/main" id="{53D5CF8D-EEA6-4985-A2F0-B7B0B040A2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3695700</xdr:colOff>
      <xdr:row>224</xdr:row>
      <xdr:rowOff>47625</xdr:rowOff>
    </xdr:from>
    <xdr:to>
      <xdr:col>9</xdr:col>
      <xdr:colOff>523875</xdr:colOff>
      <xdr:row>261</xdr:row>
      <xdr:rowOff>19049</xdr:rowOff>
    </xdr:to>
    <xdr:graphicFrame macro="">
      <xdr:nvGraphicFramePr>
        <xdr:cNvPr id="6" name="Chart 5">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Finance\John%20Ray\2021-05-25%20Updated%20Operating%20%20Budget%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Finance\Maureen\Transportation%20Programs\2022%20Transportation\Breakeven%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Finance\Maureen\Finance%20Committee\CCCHC%20Financial%20Report%2012%2031%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Budget"/>
      <sheetName val="CARTS Summary"/>
      <sheetName val="6 Mth Budget"/>
      <sheetName val="RHN"/>
      <sheetName val="Tobacco"/>
      <sheetName val="Navigator"/>
      <sheetName val="NY Connects"/>
      <sheetName val="HEALing"/>
      <sheetName val="Transportaton"/>
      <sheetName val="Dyson"/>
      <sheetName val="County"/>
      <sheetName val="Greene County"/>
      <sheetName val="ICAN"/>
      <sheetName val="Admin"/>
    </sheetNames>
    <sheetDataSet>
      <sheetData sheetId="0"/>
      <sheetData sheetId="1"/>
      <sheetData sheetId="2"/>
      <sheetData sheetId="3"/>
      <sheetData sheetId="4"/>
      <sheetData sheetId="5"/>
      <sheetData sheetId="6"/>
      <sheetData sheetId="7"/>
      <sheetData sheetId="8">
        <row r="46">
          <cell r="N46">
            <v>0</v>
          </cell>
          <cell r="O46">
            <v>0</v>
          </cell>
          <cell r="P46">
            <v>0</v>
          </cell>
          <cell r="Q46">
            <v>0</v>
          </cell>
          <cell r="R46">
            <v>0</v>
          </cell>
          <cell r="S46">
            <v>0</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d  Operating Budget"/>
      <sheetName val="Notes"/>
      <sheetName val="Data"/>
      <sheetName val="Updated Operating Budget"/>
      <sheetName val="August'22 Revenues &amp; Expenses"/>
      <sheetName val="August'22 AR Aging "/>
      <sheetName val="August'22 Financial Position"/>
      <sheetName val="August'22 State of Activities"/>
      <sheetName val="Breakeven"/>
      <sheetName val="Historic"/>
      <sheetName val="Sheet1"/>
      <sheetName val="June'20 Transportation"/>
      <sheetName val="Transportation Projections"/>
      <sheetName val="2019 Budget"/>
      <sheetName val="2017 Medicaid Revenue"/>
      <sheetName val="Budget"/>
      <sheetName val="YE Historic Data"/>
    </sheetNames>
    <sheetDataSet>
      <sheetData sheetId="0"/>
      <sheetData sheetId="1"/>
      <sheetData sheetId="2"/>
      <sheetData sheetId="3"/>
      <sheetData sheetId="4"/>
      <sheetData sheetId="5"/>
      <sheetData sheetId="6"/>
      <sheetData sheetId="7">
        <row r="3">
          <cell r="A3" t="str">
            <v>Eight Months Ended August 31, 2022 and 2021</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d  Operating Budget"/>
      <sheetName val="Notes"/>
      <sheetName val="Data"/>
      <sheetName val="Updated Operating Budget"/>
      <sheetName val="December'21 Revenues &amp; Expenses"/>
      <sheetName val="December'21 AR Aging "/>
      <sheetName val="December'21 Financial Position"/>
      <sheetName val="December'21 State of Activities"/>
      <sheetName val="December'21 Transportation"/>
      <sheetName val="June'20 Transportation"/>
      <sheetName val="Transportation Projections"/>
      <sheetName val="2019 Budget"/>
      <sheetName val="2017 Medicaid Revenue"/>
      <sheetName val="Budget"/>
      <sheetName val="YE Historic Data"/>
    </sheetNames>
    <sheetDataSet>
      <sheetData sheetId="0"/>
      <sheetData sheetId="1"/>
      <sheetData sheetId="2"/>
      <sheetData sheetId="3"/>
      <sheetData sheetId="4"/>
      <sheetData sheetId="5"/>
      <sheetData sheetId="6"/>
      <sheetData sheetId="7">
        <row r="26">
          <cell r="H26">
            <v>52740</v>
          </cell>
        </row>
      </sheetData>
      <sheetData sheetId="8"/>
      <sheetData sheetId="9"/>
      <sheetData sheetId="10"/>
      <sheetData sheetId="11"/>
      <sheetData sheetId="12"/>
      <sheetData sheetId="13"/>
      <sheetData sheetId="14"/>
    </sheetDataSet>
  </externalBook>
</externalLink>
</file>

<file path=xl/persons/person.xml><?xml version="1.0" encoding="utf-8"?>
<personList xmlns="http://schemas.microsoft.com/office/spreadsheetml/2018/threadedcomments" xmlns:x="http://schemas.openxmlformats.org/spreadsheetml/2006/main">
  <person displayName="Gregory Pettyjohn" id="{889C7253-674B-4D1C-9A41-56AEBC44688E}" userId="S::GPettyjohn@columbiahealthnet.org::b48d70c7-1178-4819-b6f3-d6e9613b74b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53" dT="2025-01-31T12:22:10.13" personId="{889C7253-674B-4D1C-9A41-56AEBC44688E}" id="{D2AAE105-F2BC-41AE-8225-C626ED6F0CC6}">
    <text>Corrected on 1/31/2028: includes Mother Cab, Dyson &amp; Transport</text>
  </threadedComment>
</ThreadedComments>
</file>

<file path=xl/threadedComments/threadedComment2.xml><?xml version="1.0" encoding="utf-8"?>
<ThreadedComments xmlns="http://schemas.microsoft.com/office/spreadsheetml/2018/threadedcomments" xmlns:x="http://schemas.openxmlformats.org/spreadsheetml/2006/main">
  <threadedComment ref="J48" dT="2025-01-31T12:22:10.13" personId="{889C7253-674B-4D1C-9A41-56AEBC44688E}" id="{0DFA57E9-9FC2-4F99-B472-5CCADDE53003}">
    <text>Corrected on 1/31/2028: includes Mother Cab, Dyson &amp; Transport</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 Id="rId4" Type="http://schemas.microsoft.com/office/2017/10/relationships/threadedComment" Target="../threadedComments/threadedComment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7"/>
  <sheetViews>
    <sheetView topLeftCell="A4" zoomScale="70" zoomScaleNormal="70" workbookViewId="0">
      <selection activeCell="K8" sqref="K8"/>
    </sheetView>
  </sheetViews>
  <sheetFormatPr defaultRowHeight="14.25" x14ac:dyDescent="0.2"/>
  <cols>
    <col min="1" max="1" width="2.875" style="34" customWidth="1"/>
    <col min="2" max="2" width="8.125" style="34" customWidth="1"/>
    <col min="3" max="3" width="8.75" style="34" customWidth="1"/>
    <col min="4" max="4" width="5.75" style="34" customWidth="1"/>
    <col min="5" max="5" width="2.875" style="34" customWidth="1"/>
    <col min="6" max="6" width="45.625" style="34" customWidth="1"/>
    <col min="7" max="9" width="26.875" customWidth="1"/>
    <col min="10" max="10" width="1.75" customWidth="1"/>
    <col min="11" max="11" width="26.875" customWidth="1"/>
    <col min="12" max="12" width="15.25" bestFit="1" customWidth="1"/>
    <col min="13" max="13" width="10.625" customWidth="1"/>
    <col min="15" max="15" width="10" bestFit="1" customWidth="1"/>
    <col min="17" max="17" width="11.5" bestFit="1" customWidth="1"/>
    <col min="251" max="251" width="2.875" customWidth="1"/>
    <col min="252" max="252" width="8.125" customWidth="1"/>
    <col min="253" max="253" width="8.75" customWidth="1"/>
    <col min="254" max="254" width="11" customWidth="1"/>
    <col min="255" max="255" width="2.875" customWidth="1"/>
    <col min="256" max="256" width="77.625" customWidth="1"/>
    <col min="257" max="257" width="20.875" customWidth="1"/>
    <col min="507" max="507" width="2.875" customWidth="1"/>
    <col min="508" max="508" width="8.125" customWidth="1"/>
    <col min="509" max="509" width="8.75" customWidth="1"/>
    <col min="510" max="510" width="11" customWidth="1"/>
    <col min="511" max="511" width="2.875" customWidth="1"/>
    <col min="512" max="512" width="77.625" customWidth="1"/>
    <col min="513" max="513" width="20.875" customWidth="1"/>
    <col min="763" max="763" width="2.875" customWidth="1"/>
    <col min="764" max="764" width="8.125" customWidth="1"/>
    <col min="765" max="765" width="8.75" customWidth="1"/>
    <col min="766" max="766" width="11" customWidth="1"/>
    <col min="767" max="767" width="2.875" customWidth="1"/>
    <col min="768" max="768" width="77.625" customWidth="1"/>
    <col min="769" max="769" width="20.875" customWidth="1"/>
    <col min="1019" max="1019" width="2.875" customWidth="1"/>
    <col min="1020" max="1020" width="8.125" customWidth="1"/>
    <col min="1021" max="1021" width="8.75" customWidth="1"/>
    <col min="1022" max="1022" width="11" customWidth="1"/>
    <col min="1023" max="1023" width="2.875" customWidth="1"/>
    <col min="1024" max="1024" width="77.625" customWidth="1"/>
    <col min="1025" max="1025" width="20.875" customWidth="1"/>
    <col min="1275" max="1275" width="2.875" customWidth="1"/>
    <col min="1276" max="1276" width="8.125" customWidth="1"/>
    <col min="1277" max="1277" width="8.75" customWidth="1"/>
    <col min="1278" max="1278" width="11" customWidth="1"/>
    <col min="1279" max="1279" width="2.875" customWidth="1"/>
    <col min="1280" max="1280" width="77.625" customWidth="1"/>
    <col min="1281" max="1281" width="20.875" customWidth="1"/>
    <col min="1531" max="1531" width="2.875" customWidth="1"/>
    <col min="1532" max="1532" width="8.125" customWidth="1"/>
    <col min="1533" max="1533" width="8.75" customWidth="1"/>
    <col min="1534" max="1534" width="11" customWidth="1"/>
    <col min="1535" max="1535" width="2.875" customWidth="1"/>
    <col min="1536" max="1536" width="77.625" customWidth="1"/>
    <col min="1537" max="1537" width="20.875" customWidth="1"/>
    <col min="1787" max="1787" width="2.875" customWidth="1"/>
    <col min="1788" max="1788" width="8.125" customWidth="1"/>
    <col min="1789" max="1789" width="8.75" customWidth="1"/>
    <col min="1790" max="1790" width="11" customWidth="1"/>
    <col min="1791" max="1791" width="2.875" customWidth="1"/>
    <col min="1792" max="1792" width="77.625" customWidth="1"/>
    <col min="1793" max="1793" width="20.875" customWidth="1"/>
    <col min="2043" max="2043" width="2.875" customWidth="1"/>
    <col min="2044" max="2044" width="8.125" customWidth="1"/>
    <col min="2045" max="2045" width="8.75" customWidth="1"/>
    <col min="2046" max="2046" width="11" customWidth="1"/>
    <col min="2047" max="2047" width="2.875" customWidth="1"/>
    <col min="2048" max="2048" width="77.625" customWidth="1"/>
    <col min="2049" max="2049" width="20.875" customWidth="1"/>
    <col min="2299" max="2299" width="2.875" customWidth="1"/>
    <col min="2300" max="2300" width="8.125" customWidth="1"/>
    <col min="2301" max="2301" width="8.75" customWidth="1"/>
    <col min="2302" max="2302" width="11" customWidth="1"/>
    <col min="2303" max="2303" width="2.875" customWidth="1"/>
    <col min="2304" max="2304" width="77.625" customWidth="1"/>
    <col min="2305" max="2305" width="20.875" customWidth="1"/>
    <col min="2555" max="2555" width="2.875" customWidth="1"/>
    <col min="2556" max="2556" width="8.125" customWidth="1"/>
    <col min="2557" max="2557" width="8.75" customWidth="1"/>
    <col min="2558" max="2558" width="11" customWidth="1"/>
    <col min="2559" max="2559" width="2.875" customWidth="1"/>
    <col min="2560" max="2560" width="77.625" customWidth="1"/>
    <col min="2561" max="2561" width="20.875" customWidth="1"/>
    <col min="2811" max="2811" width="2.875" customWidth="1"/>
    <col min="2812" max="2812" width="8.125" customWidth="1"/>
    <col min="2813" max="2813" width="8.75" customWidth="1"/>
    <col min="2814" max="2814" width="11" customWidth="1"/>
    <col min="2815" max="2815" width="2.875" customWidth="1"/>
    <col min="2816" max="2816" width="77.625" customWidth="1"/>
    <col min="2817" max="2817" width="20.875" customWidth="1"/>
    <col min="3067" max="3067" width="2.875" customWidth="1"/>
    <col min="3068" max="3068" width="8.125" customWidth="1"/>
    <col min="3069" max="3069" width="8.75" customWidth="1"/>
    <col min="3070" max="3070" width="11" customWidth="1"/>
    <col min="3071" max="3071" width="2.875" customWidth="1"/>
    <col min="3072" max="3072" width="77.625" customWidth="1"/>
    <col min="3073" max="3073" width="20.875" customWidth="1"/>
    <col min="3323" max="3323" width="2.875" customWidth="1"/>
    <col min="3324" max="3324" width="8.125" customWidth="1"/>
    <col min="3325" max="3325" width="8.75" customWidth="1"/>
    <col min="3326" max="3326" width="11" customWidth="1"/>
    <col min="3327" max="3327" width="2.875" customWidth="1"/>
    <col min="3328" max="3328" width="77.625" customWidth="1"/>
    <col min="3329" max="3329" width="20.875" customWidth="1"/>
    <col min="3579" max="3579" width="2.875" customWidth="1"/>
    <col min="3580" max="3580" width="8.125" customWidth="1"/>
    <col min="3581" max="3581" width="8.75" customWidth="1"/>
    <col min="3582" max="3582" width="11" customWidth="1"/>
    <col min="3583" max="3583" width="2.875" customWidth="1"/>
    <col min="3584" max="3584" width="77.625" customWidth="1"/>
    <col min="3585" max="3585" width="20.875" customWidth="1"/>
    <col min="3835" max="3835" width="2.875" customWidth="1"/>
    <col min="3836" max="3836" width="8.125" customWidth="1"/>
    <col min="3837" max="3837" width="8.75" customWidth="1"/>
    <col min="3838" max="3838" width="11" customWidth="1"/>
    <col min="3839" max="3839" width="2.875" customWidth="1"/>
    <col min="3840" max="3840" width="77.625" customWidth="1"/>
    <col min="3841" max="3841" width="20.875" customWidth="1"/>
    <col min="4091" max="4091" width="2.875" customWidth="1"/>
    <col min="4092" max="4092" width="8.125" customWidth="1"/>
    <col min="4093" max="4093" width="8.75" customWidth="1"/>
    <col min="4094" max="4094" width="11" customWidth="1"/>
    <col min="4095" max="4095" width="2.875" customWidth="1"/>
    <col min="4096" max="4096" width="77.625" customWidth="1"/>
    <col min="4097" max="4097" width="20.875" customWidth="1"/>
    <col min="4347" max="4347" width="2.875" customWidth="1"/>
    <col min="4348" max="4348" width="8.125" customWidth="1"/>
    <col min="4349" max="4349" width="8.75" customWidth="1"/>
    <col min="4350" max="4350" width="11" customWidth="1"/>
    <col min="4351" max="4351" width="2.875" customWidth="1"/>
    <col min="4352" max="4352" width="77.625" customWidth="1"/>
    <col min="4353" max="4353" width="20.875" customWidth="1"/>
    <col min="4603" max="4603" width="2.875" customWidth="1"/>
    <col min="4604" max="4604" width="8.125" customWidth="1"/>
    <col min="4605" max="4605" width="8.75" customWidth="1"/>
    <col min="4606" max="4606" width="11" customWidth="1"/>
    <col min="4607" max="4607" width="2.875" customWidth="1"/>
    <col min="4608" max="4608" width="77.625" customWidth="1"/>
    <col min="4609" max="4609" width="20.875" customWidth="1"/>
    <col min="4859" max="4859" width="2.875" customWidth="1"/>
    <col min="4860" max="4860" width="8.125" customWidth="1"/>
    <col min="4861" max="4861" width="8.75" customWidth="1"/>
    <col min="4862" max="4862" width="11" customWidth="1"/>
    <col min="4863" max="4863" width="2.875" customWidth="1"/>
    <col min="4864" max="4864" width="77.625" customWidth="1"/>
    <col min="4865" max="4865" width="20.875" customWidth="1"/>
    <col min="5115" max="5115" width="2.875" customWidth="1"/>
    <col min="5116" max="5116" width="8.125" customWidth="1"/>
    <col min="5117" max="5117" width="8.75" customWidth="1"/>
    <col min="5118" max="5118" width="11" customWidth="1"/>
    <col min="5119" max="5119" width="2.875" customWidth="1"/>
    <col min="5120" max="5120" width="77.625" customWidth="1"/>
    <col min="5121" max="5121" width="20.875" customWidth="1"/>
    <col min="5371" max="5371" width="2.875" customWidth="1"/>
    <col min="5372" max="5372" width="8.125" customWidth="1"/>
    <col min="5373" max="5373" width="8.75" customWidth="1"/>
    <col min="5374" max="5374" width="11" customWidth="1"/>
    <col min="5375" max="5375" width="2.875" customWidth="1"/>
    <col min="5376" max="5376" width="77.625" customWidth="1"/>
    <col min="5377" max="5377" width="20.875" customWidth="1"/>
    <col min="5627" max="5627" width="2.875" customWidth="1"/>
    <col min="5628" max="5628" width="8.125" customWidth="1"/>
    <col min="5629" max="5629" width="8.75" customWidth="1"/>
    <col min="5630" max="5630" width="11" customWidth="1"/>
    <col min="5631" max="5631" width="2.875" customWidth="1"/>
    <col min="5632" max="5632" width="77.625" customWidth="1"/>
    <col min="5633" max="5633" width="20.875" customWidth="1"/>
    <col min="5883" max="5883" width="2.875" customWidth="1"/>
    <col min="5884" max="5884" width="8.125" customWidth="1"/>
    <col min="5885" max="5885" width="8.75" customWidth="1"/>
    <col min="5886" max="5886" width="11" customWidth="1"/>
    <col min="5887" max="5887" width="2.875" customWidth="1"/>
    <col min="5888" max="5888" width="77.625" customWidth="1"/>
    <col min="5889" max="5889" width="20.875" customWidth="1"/>
    <col min="6139" max="6139" width="2.875" customWidth="1"/>
    <col min="6140" max="6140" width="8.125" customWidth="1"/>
    <col min="6141" max="6141" width="8.75" customWidth="1"/>
    <col min="6142" max="6142" width="11" customWidth="1"/>
    <col min="6143" max="6143" width="2.875" customWidth="1"/>
    <col min="6144" max="6144" width="77.625" customWidth="1"/>
    <col min="6145" max="6145" width="20.875" customWidth="1"/>
    <col min="6395" max="6395" width="2.875" customWidth="1"/>
    <col min="6396" max="6396" width="8.125" customWidth="1"/>
    <col min="6397" max="6397" width="8.75" customWidth="1"/>
    <col min="6398" max="6398" width="11" customWidth="1"/>
    <col min="6399" max="6399" width="2.875" customWidth="1"/>
    <col min="6400" max="6400" width="77.625" customWidth="1"/>
    <col min="6401" max="6401" width="20.875" customWidth="1"/>
    <col min="6651" max="6651" width="2.875" customWidth="1"/>
    <col min="6652" max="6652" width="8.125" customWidth="1"/>
    <col min="6653" max="6653" width="8.75" customWidth="1"/>
    <col min="6654" max="6654" width="11" customWidth="1"/>
    <col min="6655" max="6655" width="2.875" customWidth="1"/>
    <col min="6656" max="6656" width="77.625" customWidth="1"/>
    <col min="6657" max="6657" width="20.875" customWidth="1"/>
    <col min="6907" max="6907" width="2.875" customWidth="1"/>
    <col min="6908" max="6908" width="8.125" customWidth="1"/>
    <col min="6909" max="6909" width="8.75" customWidth="1"/>
    <col min="6910" max="6910" width="11" customWidth="1"/>
    <col min="6911" max="6911" width="2.875" customWidth="1"/>
    <col min="6912" max="6912" width="77.625" customWidth="1"/>
    <col min="6913" max="6913" width="20.875" customWidth="1"/>
    <col min="7163" max="7163" width="2.875" customWidth="1"/>
    <col min="7164" max="7164" width="8.125" customWidth="1"/>
    <col min="7165" max="7165" width="8.75" customWidth="1"/>
    <col min="7166" max="7166" width="11" customWidth="1"/>
    <col min="7167" max="7167" width="2.875" customWidth="1"/>
    <col min="7168" max="7168" width="77.625" customWidth="1"/>
    <col min="7169" max="7169" width="20.875" customWidth="1"/>
    <col min="7419" max="7419" width="2.875" customWidth="1"/>
    <col min="7420" max="7420" width="8.125" customWidth="1"/>
    <col min="7421" max="7421" width="8.75" customWidth="1"/>
    <col min="7422" max="7422" width="11" customWidth="1"/>
    <col min="7423" max="7423" width="2.875" customWidth="1"/>
    <col min="7424" max="7424" width="77.625" customWidth="1"/>
    <col min="7425" max="7425" width="20.875" customWidth="1"/>
    <col min="7675" max="7675" width="2.875" customWidth="1"/>
    <col min="7676" max="7676" width="8.125" customWidth="1"/>
    <col min="7677" max="7677" width="8.75" customWidth="1"/>
    <col min="7678" max="7678" width="11" customWidth="1"/>
    <col min="7679" max="7679" width="2.875" customWidth="1"/>
    <col min="7680" max="7680" width="77.625" customWidth="1"/>
    <col min="7681" max="7681" width="20.875" customWidth="1"/>
    <col min="7931" max="7931" width="2.875" customWidth="1"/>
    <col min="7932" max="7932" width="8.125" customWidth="1"/>
    <col min="7933" max="7933" width="8.75" customWidth="1"/>
    <col min="7934" max="7934" width="11" customWidth="1"/>
    <col min="7935" max="7935" width="2.875" customWidth="1"/>
    <col min="7936" max="7936" width="77.625" customWidth="1"/>
    <col min="7937" max="7937" width="20.875" customWidth="1"/>
    <col min="8187" max="8187" width="2.875" customWidth="1"/>
    <col min="8188" max="8188" width="8.125" customWidth="1"/>
    <col min="8189" max="8189" width="8.75" customWidth="1"/>
    <col min="8190" max="8190" width="11" customWidth="1"/>
    <col min="8191" max="8191" width="2.875" customWidth="1"/>
    <col min="8192" max="8192" width="77.625" customWidth="1"/>
    <col min="8193" max="8193" width="20.875" customWidth="1"/>
    <col min="8443" max="8443" width="2.875" customWidth="1"/>
    <col min="8444" max="8444" width="8.125" customWidth="1"/>
    <col min="8445" max="8445" width="8.75" customWidth="1"/>
    <col min="8446" max="8446" width="11" customWidth="1"/>
    <col min="8447" max="8447" width="2.875" customWidth="1"/>
    <col min="8448" max="8448" width="77.625" customWidth="1"/>
    <col min="8449" max="8449" width="20.875" customWidth="1"/>
    <col min="8699" max="8699" width="2.875" customWidth="1"/>
    <col min="8700" max="8700" width="8.125" customWidth="1"/>
    <col min="8701" max="8701" width="8.75" customWidth="1"/>
    <col min="8702" max="8702" width="11" customWidth="1"/>
    <col min="8703" max="8703" width="2.875" customWidth="1"/>
    <col min="8704" max="8704" width="77.625" customWidth="1"/>
    <col min="8705" max="8705" width="20.875" customWidth="1"/>
    <col min="8955" max="8955" width="2.875" customWidth="1"/>
    <col min="8956" max="8956" width="8.125" customWidth="1"/>
    <col min="8957" max="8957" width="8.75" customWidth="1"/>
    <col min="8958" max="8958" width="11" customWidth="1"/>
    <col min="8959" max="8959" width="2.875" customWidth="1"/>
    <col min="8960" max="8960" width="77.625" customWidth="1"/>
    <col min="8961" max="8961" width="20.875" customWidth="1"/>
    <col min="9211" max="9211" width="2.875" customWidth="1"/>
    <col min="9212" max="9212" width="8.125" customWidth="1"/>
    <col min="9213" max="9213" width="8.75" customWidth="1"/>
    <col min="9214" max="9214" width="11" customWidth="1"/>
    <col min="9215" max="9215" width="2.875" customWidth="1"/>
    <col min="9216" max="9216" width="77.625" customWidth="1"/>
    <col min="9217" max="9217" width="20.875" customWidth="1"/>
    <col min="9467" max="9467" width="2.875" customWidth="1"/>
    <col min="9468" max="9468" width="8.125" customWidth="1"/>
    <col min="9469" max="9469" width="8.75" customWidth="1"/>
    <col min="9470" max="9470" width="11" customWidth="1"/>
    <col min="9471" max="9471" width="2.875" customWidth="1"/>
    <col min="9472" max="9472" width="77.625" customWidth="1"/>
    <col min="9473" max="9473" width="20.875" customWidth="1"/>
    <col min="9723" max="9723" width="2.875" customWidth="1"/>
    <col min="9724" max="9724" width="8.125" customWidth="1"/>
    <col min="9725" max="9725" width="8.75" customWidth="1"/>
    <col min="9726" max="9726" width="11" customWidth="1"/>
    <col min="9727" max="9727" width="2.875" customWidth="1"/>
    <col min="9728" max="9728" width="77.625" customWidth="1"/>
    <col min="9729" max="9729" width="20.875" customWidth="1"/>
    <col min="9979" max="9979" width="2.875" customWidth="1"/>
    <col min="9980" max="9980" width="8.125" customWidth="1"/>
    <col min="9981" max="9981" width="8.75" customWidth="1"/>
    <col min="9982" max="9982" width="11" customWidth="1"/>
    <col min="9983" max="9983" width="2.875" customWidth="1"/>
    <col min="9984" max="9984" width="77.625" customWidth="1"/>
    <col min="9985" max="9985" width="20.875" customWidth="1"/>
    <col min="10235" max="10235" width="2.875" customWidth="1"/>
    <col min="10236" max="10236" width="8.125" customWidth="1"/>
    <col min="10237" max="10237" width="8.75" customWidth="1"/>
    <col min="10238" max="10238" width="11" customWidth="1"/>
    <col min="10239" max="10239" width="2.875" customWidth="1"/>
    <col min="10240" max="10240" width="77.625" customWidth="1"/>
    <col min="10241" max="10241" width="20.875" customWidth="1"/>
    <col min="10491" max="10491" width="2.875" customWidth="1"/>
    <col min="10492" max="10492" width="8.125" customWidth="1"/>
    <col min="10493" max="10493" width="8.75" customWidth="1"/>
    <col min="10494" max="10494" width="11" customWidth="1"/>
    <col min="10495" max="10495" width="2.875" customWidth="1"/>
    <col min="10496" max="10496" width="77.625" customWidth="1"/>
    <col min="10497" max="10497" width="20.875" customWidth="1"/>
    <col min="10747" max="10747" width="2.875" customWidth="1"/>
    <col min="10748" max="10748" width="8.125" customWidth="1"/>
    <col min="10749" max="10749" width="8.75" customWidth="1"/>
    <col min="10750" max="10750" width="11" customWidth="1"/>
    <col min="10751" max="10751" width="2.875" customWidth="1"/>
    <col min="10752" max="10752" width="77.625" customWidth="1"/>
    <col min="10753" max="10753" width="20.875" customWidth="1"/>
    <col min="11003" max="11003" width="2.875" customWidth="1"/>
    <col min="11004" max="11004" width="8.125" customWidth="1"/>
    <col min="11005" max="11005" width="8.75" customWidth="1"/>
    <col min="11006" max="11006" width="11" customWidth="1"/>
    <col min="11007" max="11007" width="2.875" customWidth="1"/>
    <col min="11008" max="11008" width="77.625" customWidth="1"/>
    <col min="11009" max="11009" width="20.875" customWidth="1"/>
    <col min="11259" max="11259" width="2.875" customWidth="1"/>
    <col min="11260" max="11260" width="8.125" customWidth="1"/>
    <col min="11261" max="11261" width="8.75" customWidth="1"/>
    <col min="11262" max="11262" width="11" customWidth="1"/>
    <col min="11263" max="11263" width="2.875" customWidth="1"/>
    <col min="11264" max="11264" width="77.625" customWidth="1"/>
    <col min="11265" max="11265" width="20.875" customWidth="1"/>
    <col min="11515" max="11515" width="2.875" customWidth="1"/>
    <col min="11516" max="11516" width="8.125" customWidth="1"/>
    <col min="11517" max="11517" width="8.75" customWidth="1"/>
    <col min="11518" max="11518" width="11" customWidth="1"/>
    <col min="11519" max="11519" width="2.875" customWidth="1"/>
    <col min="11520" max="11520" width="77.625" customWidth="1"/>
    <col min="11521" max="11521" width="20.875" customWidth="1"/>
    <col min="11771" max="11771" width="2.875" customWidth="1"/>
    <col min="11772" max="11772" width="8.125" customWidth="1"/>
    <col min="11773" max="11773" width="8.75" customWidth="1"/>
    <col min="11774" max="11774" width="11" customWidth="1"/>
    <col min="11775" max="11775" width="2.875" customWidth="1"/>
    <col min="11776" max="11776" width="77.625" customWidth="1"/>
    <col min="11777" max="11777" width="20.875" customWidth="1"/>
    <col min="12027" max="12027" width="2.875" customWidth="1"/>
    <col min="12028" max="12028" width="8.125" customWidth="1"/>
    <col min="12029" max="12029" width="8.75" customWidth="1"/>
    <col min="12030" max="12030" width="11" customWidth="1"/>
    <col min="12031" max="12031" width="2.875" customWidth="1"/>
    <col min="12032" max="12032" width="77.625" customWidth="1"/>
    <col min="12033" max="12033" width="20.875" customWidth="1"/>
    <col min="12283" max="12283" width="2.875" customWidth="1"/>
    <col min="12284" max="12284" width="8.125" customWidth="1"/>
    <col min="12285" max="12285" width="8.75" customWidth="1"/>
    <col min="12286" max="12286" width="11" customWidth="1"/>
    <col min="12287" max="12287" width="2.875" customWidth="1"/>
    <col min="12288" max="12288" width="77.625" customWidth="1"/>
    <col min="12289" max="12289" width="20.875" customWidth="1"/>
    <col min="12539" max="12539" width="2.875" customWidth="1"/>
    <col min="12540" max="12540" width="8.125" customWidth="1"/>
    <col min="12541" max="12541" width="8.75" customWidth="1"/>
    <col min="12542" max="12542" width="11" customWidth="1"/>
    <col min="12543" max="12543" width="2.875" customWidth="1"/>
    <col min="12544" max="12544" width="77.625" customWidth="1"/>
    <col min="12545" max="12545" width="20.875" customWidth="1"/>
    <col min="12795" max="12795" width="2.875" customWidth="1"/>
    <col min="12796" max="12796" width="8.125" customWidth="1"/>
    <col min="12797" max="12797" width="8.75" customWidth="1"/>
    <col min="12798" max="12798" width="11" customWidth="1"/>
    <col min="12799" max="12799" width="2.875" customWidth="1"/>
    <col min="12800" max="12800" width="77.625" customWidth="1"/>
    <col min="12801" max="12801" width="20.875" customWidth="1"/>
    <col min="13051" max="13051" width="2.875" customWidth="1"/>
    <col min="13052" max="13052" width="8.125" customWidth="1"/>
    <col min="13053" max="13053" width="8.75" customWidth="1"/>
    <col min="13054" max="13054" width="11" customWidth="1"/>
    <col min="13055" max="13055" width="2.875" customWidth="1"/>
    <col min="13056" max="13056" width="77.625" customWidth="1"/>
    <col min="13057" max="13057" width="20.875" customWidth="1"/>
    <col min="13307" max="13307" width="2.875" customWidth="1"/>
    <col min="13308" max="13308" width="8.125" customWidth="1"/>
    <col min="13309" max="13309" width="8.75" customWidth="1"/>
    <col min="13310" max="13310" width="11" customWidth="1"/>
    <col min="13311" max="13311" width="2.875" customWidth="1"/>
    <col min="13312" max="13312" width="77.625" customWidth="1"/>
    <col min="13313" max="13313" width="20.875" customWidth="1"/>
    <col min="13563" max="13563" width="2.875" customWidth="1"/>
    <col min="13564" max="13564" width="8.125" customWidth="1"/>
    <col min="13565" max="13565" width="8.75" customWidth="1"/>
    <col min="13566" max="13566" width="11" customWidth="1"/>
    <col min="13567" max="13567" width="2.875" customWidth="1"/>
    <col min="13568" max="13568" width="77.625" customWidth="1"/>
    <col min="13569" max="13569" width="20.875" customWidth="1"/>
    <col min="13819" max="13819" width="2.875" customWidth="1"/>
    <col min="13820" max="13820" width="8.125" customWidth="1"/>
    <col min="13821" max="13821" width="8.75" customWidth="1"/>
    <col min="13822" max="13822" width="11" customWidth="1"/>
    <col min="13823" max="13823" width="2.875" customWidth="1"/>
    <col min="13824" max="13824" width="77.625" customWidth="1"/>
    <col min="13825" max="13825" width="20.875" customWidth="1"/>
    <col min="14075" max="14075" width="2.875" customWidth="1"/>
    <col min="14076" max="14076" width="8.125" customWidth="1"/>
    <col min="14077" max="14077" width="8.75" customWidth="1"/>
    <col min="14078" max="14078" width="11" customWidth="1"/>
    <col min="14079" max="14079" width="2.875" customWidth="1"/>
    <col min="14080" max="14080" width="77.625" customWidth="1"/>
    <col min="14081" max="14081" width="20.875" customWidth="1"/>
    <col min="14331" max="14331" width="2.875" customWidth="1"/>
    <col min="14332" max="14332" width="8.125" customWidth="1"/>
    <col min="14333" max="14333" width="8.75" customWidth="1"/>
    <col min="14334" max="14334" width="11" customWidth="1"/>
    <col min="14335" max="14335" width="2.875" customWidth="1"/>
    <col min="14336" max="14336" width="77.625" customWidth="1"/>
    <col min="14337" max="14337" width="20.875" customWidth="1"/>
    <col min="14587" max="14587" width="2.875" customWidth="1"/>
    <col min="14588" max="14588" width="8.125" customWidth="1"/>
    <col min="14589" max="14589" width="8.75" customWidth="1"/>
    <col min="14590" max="14590" width="11" customWidth="1"/>
    <col min="14591" max="14591" width="2.875" customWidth="1"/>
    <col min="14592" max="14592" width="77.625" customWidth="1"/>
    <col min="14593" max="14593" width="20.875" customWidth="1"/>
    <col min="14843" max="14843" width="2.875" customWidth="1"/>
    <col min="14844" max="14844" width="8.125" customWidth="1"/>
    <col min="14845" max="14845" width="8.75" customWidth="1"/>
    <col min="14846" max="14846" width="11" customWidth="1"/>
    <col min="14847" max="14847" width="2.875" customWidth="1"/>
    <col min="14848" max="14848" width="77.625" customWidth="1"/>
    <col min="14849" max="14849" width="20.875" customWidth="1"/>
    <col min="15099" max="15099" width="2.875" customWidth="1"/>
    <col min="15100" max="15100" width="8.125" customWidth="1"/>
    <col min="15101" max="15101" width="8.75" customWidth="1"/>
    <col min="15102" max="15102" width="11" customWidth="1"/>
    <col min="15103" max="15103" width="2.875" customWidth="1"/>
    <col min="15104" max="15104" width="77.625" customWidth="1"/>
    <col min="15105" max="15105" width="20.875" customWidth="1"/>
    <col min="15355" max="15355" width="2.875" customWidth="1"/>
    <col min="15356" max="15356" width="8.125" customWidth="1"/>
    <col min="15357" max="15357" width="8.75" customWidth="1"/>
    <col min="15358" max="15358" width="11" customWidth="1"/>
    <col min="15359" max="15359" width="2.875" customWidth="1"/>
    <col min="15360" max="15360" width="77.625" customWidth="1"/>
    <col min="15361" max="15361" width="20.875" customWidth="1"/>
    <col min="15611" max="15611" width="2.875" customWidth="1"/>
    <col min="15612" max="15612" width="8.125" customWidth="1"/>
    <col min="15613" max="15613" width="8.75" customWidth="1"/>
    <col min="15614" max="15614" width="11" customWidth="1"/>
    <col min="15615" max="15615" width="2.875" customWidth="1"/>
    <col min="15616" max="15616" width="77.625" customWidth="1"/>
    <col min="15617" max="15617" width="20.875" customWidth="1"/>
    <col min="15867" max="15867" width="2.875" customWidth="1"/>
    <col min="15868" max="15868" width="8.125" customWidth="1"/>
    <col min="15869" max="15869" width="8.75" customWidth="1"/>
    <col min="15870" max="15870" width="11" customWidth="1"/>
    <col min="15871" max="15871" width="2.875" customWidth="1"/>
    <col min="15872" max="15872" width="77.625" customWidth="1"/>
    <col min="15873" max="15873" width="20.875" customWidth="1"/>
    <col min="16123" max="16123" width="2.875" customWidth="1"/>
    <col min="16124" max="16124" width="8.125" customWidth="1"/>
    <col min="16125" max="16125" width="8.75" customWidth="1"/>
    <col min="16126" max="16126" width="11" customWidth="1"/>
    <col min="16127" max="16127" width="2.875" customWidth="1"/>
    <col min="16128" max="16128" width="77.625" customWidth="1"/>
    <col min="16129" max="16129" width="20.875" customWidth="1"/>
  </cols>
  <sheetData>
    <row r="1" spans="1:13" ht="22.5" customHeight="1" x14ac:dyDescent="0.4">
      <c r="A1" s="35" t="s">
        <v>90</v>
      </c>
      <c r="B1" s="36"/>
      <c r="C1" s="37"/>
      <c r="D1" s="37"/>
      <c r="E1" s="37"/>
      <c r="F1" s="36"/>
      <c r="G1" s="36"/>
      <c r="H1" s="36"/>
      <c r="I1" s="36"/>
      <c r="J1" s="36"/>
      <c r="K1" s="36"/>
      <c r="L1" s="36"/>
      <c r="M1" s="36"/>
    </row>
    <row r="2" spans="1:13" ht="22.5" customHeight="1" x14ac:dyDescent="0.4">
      <c r="A2" s="35" t="s">
        <v>390</v>
      </c>
      <c r="B2" s="36"/>
      <c r="C2" s="37"/>
      <c r="D2" s="37"/>
      <c r="E2" s="37"/>
      <c r="F2" s="36"/>
      <c r="G2" s="36"/>
      <c r="H2" s="36"/>
      <c r="I2" s="36"/>
      <c r="J2" s="36"/>
      <c r="K2" s="36"/>
      <c r="L2" s="36"/>
      <c r="M2" s="36"/>
    </row>
    <row r="3" spans="1:13" ht="22.5" customHeight="1" x14ac:dyDescent="0.4">
      <c r="A3" s="35" t="s">
        <v>412</v>
      </c>
      <c r="B3" s="36"/>
      <c r="C3" s="37"/>
      <c r="D3" s="37"/>
      <c r="E3" s="37"/>
      <c r="F3" s="36"/>
      <c r="G3" s="36"/>
      <c r="H3" s="36"/>
      <c r="I3" s="36"/>
      <c r="J3" s="36"/>
      <c r="K3" s="36"/>
      <c r="L3" s="36"/>
      <c r="M3" s="36"/>
    </row>
    <row r="4" spans="1:13" s="39" customFormat="1" ht="8.25" customHeight="1" thickBot="1" x14ac:dyDescent="0.25">
      <c r="A4" s="38"/>
      <c r="B4" s="38"/>
      <c r="C4" s="38"/>
      <c r="D4" s="38"/>
      <c r="E4" s="38"/>
      <c r="F4" s="38"/>
    </row>
    <row r="5" spans="1:13" s="42" customFormat="1" ht="24.75" customHeight="1" thickTop="1" thickBot="1" x14ac:dyDescent="0.25">
      <c r="A5" s="40" t="s">
        <v>104</v>
      </c>
      <c r="B5" s="40"/>
      <c r="C5" s="40"/>
      <c r="D5" s="40"/>
      <c r="E5" s="40"/>
      <c r="F5" s="40"/>
      <c r="G5" s="790" t="s">
        <v>46</v>
      </c>
      <c r="H5" s="790"/>
      <c r="I5" s="790"/>
      <c r="J5" s="790"/>
      <c r="K5" s="790"/>
      <c r="L5" s="277" t="s">
        <v>176</v>
      </c>
      <c r="M5" s="274" t="s">
        <v>188</v>
      </c>
    </row>
    <row r="6" spans="1:13" s="44" customFormat="1" ht="8.25" customHeight="1" thickTop="1" x14ac:dyDescent="0.2">
      <c r="A6" s="43"/>
      <c r="B6" s="43"/>
      <c r="C6" s="43"/>
      <c r="D6" s="43"/>
      <c r="E6" s="43"/>
      <c r="F6" s="43"/>
    </row>
    <row r="7" spans="1:13" s="44" customFormat="1" ht="75.75" customHeight="1" thickBot="1" x14ac:dyDescent="0.25">
      <c r="A7" s="43"/>
      <c r="B7" s="55" t="s">
        <v>96</v>
      </c>
      <c r="C7" s="55"/>
      <c r="D7" s="55"/>
      <c r="E7" s="55"/>
      <c r="F7" s="55"/>
      <c r="G7" s="272" t="s">
        <v>413</v>
      </c>
      <c r="H7" s="512" t="s">
        <v>414</v>
      </c>
      <c r="I7" s="512" t="s">
        <v>415</v>
      </c>
      <c r="J7" s="512"/>
      <c r="K7" s="513" t="s">
        <v>420</v>
      </c>
      <c r="L7" s="791" t="s">
        <v>394</v>
      </c>
      <c r="M7" s="791"/>
    </row>
    <row r="8" spans="1:13" s="44" customFormat="1" ht="20.25" x14ac:dyDescent="0.2">
      <c r="A8" s="43"/>
      <c r="B8" s="43"/>
      <c r="C8" s="47" t="s">
        <v>97</v>
      </c>
      <c r="D8" s="47"/>
      <c r="E8" s="47"/>
      <c r="F8" s="43"/>
      <c r="G8" s="160">
        <v>200992</v>
      </c>
      <c r="H8" s="160">
        <v>507048</v>
      </c>
      <c r="I8" s="160">
        <f>G8+H8</f>
        <v>708040</v>
      </c>
      <c r="J8" s="160"/>
      <c r="K8" s="160">
        <v>700893</v>
      </c>
      <c r="L8" s="261">
        <f>I8-K8</f>
        <v>7147</v>
      </c>
      <c r="M8" s="275">
        <f>(I8-K8)/K8</f>
        <v>1.0196991552205544E-2</v>
      </c>
    </row>
    <row r="9" spans="1:13" s="44" customFormat="1" ht="20.25" x14ac:dyDescent="0.2">
      <c r="A9" s="43"/>
      <c r="B9" s="43"/>
      <c r="C9" s="47" t="s">
        <v>146</v>
      </c>
      <c r="D9" s="47"/>
      <c r="E9" s="47"/>
      <c r="F9" s="43"/>
      <c r="G9" s="151">
        <v>18908</v>
      </c>
      <c r="H9" s="151">
        <v>61000</v>
      </c>
      <c r="I9" s="151">
        <f>G9+H9</f>
        <v>79908</v>
      </c>
      <c r="J9" s="151"/>
      <c r="K9" s="151">
        <v>90000</v>
      </c>
      <c r="L9" s="337">
        <f>I9-K9</f>
        <v>-10092</v>
      </c>
      <c r="M9" s="275">
        <f t="shared" ref="M9:M28" si="0">(I9-K9)/K9</f>
        <v>-0.11213333333333333</v>
      </c>
    </row>
    <row r="10" spans="1:13" s="44" customFormat="1" ht="20.25" x14ac:dyDescent="0.2">
      <c r="A10" s="43"/>
      <c r="B10" s="43"/>
      <c r="C10" s="47" t="s">
        <v>174</v>
      </c>
      <c r="D10" s="47"/>
      <c r="E10" s="47"/>
      <c r="F10" s="43"/>
      <c r="G10" s="151">
        <v>16159</v>
      </c>
      <c r="H10" s="151">
        <v>25547</v>
      </c>
      <c r="I10" s="151">
        <f>G10+H10</f>
        <v>41706</v>
      </c>
      <c r="J10" s="151"/>
      <c r="K10" s="151">
        <v>50397</v>
      </c>
      <c r="L10" s="337">
        <f>I10-K10</f>
        <v>-8691</v>
      </c>
      <c r="M10" s="275">
        <f t="shared" si="0"/>
        <v>-0.17245074111554259</v>
      </c>
    </row>
    <row r="11" spans="1:13" s="44" customFormat="1" ht="20.25" x14ac:dyDescent="0.2">
      <c r="A11" s="43"/>
      <c r="B11" s="43"/>
      <c r="C11" s="47" t="s">
        <v>98</v>
      </c>
      <c r="D11" s="47"/>
      <c r="E11" s="47"/>
      <c r="F11" s="43"/>
      <c r="G11" s="151"/>
      <c r="H11" s="151"/>
      <c r="I11" s="151">
        <f t="shared" ref="I11:I28" si="1">G11+H11</f>
        <v>0</v>
      </c>
      <c r="J11" s="151"/>
      <c r="K11" s="151"/>
      <c r="L11" s="337"/>
      <c r="M11" s="275"/>
    </row>
    <row r="12" spans="1:13" s="44" customFormat="1" ht="20.25" x14ac:dyDescent="0.2">
      <c r="A12" s="43"/>
      <c r="B12" s="43"/>
      <c r="D12" s="47" t="s">
        <v>135</v>
      </c>
      <c r="E12" s="47"/>
      <c r="F12" s="43"/>
      <c r="G12" s="151">
        <v>78605</v>
      </c>
      <c r="H12" s="151">
        <f>239968-H10-H13-H14</f>
        <v>121781</v>
      </c>
      <c r="I12" s="151">
        <f t="shared" si="1"/>
        <v>200386</v>
      </c>
      <c r="J12" s="151"/>
      <c r="K12" s="151">
        <v>169789</v>
      </c>
      <c r="L12" s="337">
        <f t="shared" ref="L12:L28" si="2">I12-K12</f>
        <v>30597</v>
      </c>
      <c r="M12" s="275">
        <f t="shared" si="0"/>
        <v>0.18020602041357214</v>
      </c>
    </row>
    <row r="13" spans="1:13" s="44" customFormat="1" ht="20.25" x14ac:dyDescent="0.2">
      <c r="A13" s="43"/>
      <c r="B13" s="43"/>
      <c r="D13" s="47" t="s">
        <v>154</v>
      </c>
      <c r="E13" s="47"/>
      <c r="F13" s="43"/>
      <c r="G13" s="151">
        <v>6000</v>
      </c>
      <c r="H13" s="151">
        <f>1500*8</f>
        <v>12000</v>
      </c>
      <c r="I13" s="151">
        <f t="shared" si="1"/>
        <v>18000</v>
      </c>
      <c r="J13" s="151"/>
      <c r="K13" s="151">
        <v>18000</v>
      </c>
      <c r="L13" s="337">
        <f t="shared" si="2"/>
        <v>0</v>
      </c>
      <c r="M13" s="275">
        <f t="shared" si="0"/>
        <v>0</v>
      </c>
    </row>
    <row r="14" spans="1:13" s="44" customFormat="1" ht="20.25" x14ac:dyDescent="0.2">
      <c r="A14" s="43"/>
      <c r="B14" s="43"/>
      <c r="C14" s="47"/>
      <c r="D14" s="47" t="s">
        <v>383</v>
      </c>
      <c r="E14" s="47"/>
      <c r="F14" s="43"/>
      <c r="G14" s="151">
        <v>39088</v>
      </c>
      <c r="H14" s="151">
        <v>80640</v>
      </c>
      <c r="I14" s="151">
        <f t="shared" si="1"/>
        <v>119728</v>
      </c>
      <c r="J14" s="151"/>
      <c r="K14" s="151">
        <v>114072</v>
      </c>
      <c r="L14" s="337">
        <f t="shared" si="2"/>
        <v>5656</v>
      </c>
      <c r="M14" s="275">
        <f t="shared" si="0"/>
        <v>4.9582719685812467E-2</v>
      </c>
    </row>
    <row r="15" spans="1:13" s="44" customFormat="1" ht="20.25" x14ac:dyDescent="0.2">
      <c r="A15" s="43"/>
      <c r="B15" s="43"/>
      <c r="C15" s="47" t="s">
        <v>359</v>
      </c>
      <c r="D15" s="47"/>
      <c r="E15" s="47"/>
      <c r="F15" s="43"/>
      <c r="G15" s="151">
        <v>5511</v>
      </c>
      <c r="H15" s="151">
        <f>17000-G15</f>
        <v>11489</v>
      </c>
      <c r="I15" s="151">
        <f t="shared" si="1"/>
        <v>17000</v>
      </c>
      <c r="J15" s="151"/>
      <c r="K15" s="151">
        <v>17000</v>
      </c>
      <c r="L15" s="337">
        <f t="shared" si="2"/>
        <v>0</v>
      </c>
      <c r="M15" s="275">
        <f t="shared" si="0"/>
        <v>0</v>
      </c>
    </row>
    <row r="16" spans="1:13" s="44" customFormat="1" ht="20.25" x14ac:dyDescent="0.2">
      <c r="A16" s="43"/>
      <c r="B16" s="43"/>
      <c r="C16" s="47" t="s">
        <v>106</v>
      </c>
      <c r="D16" s="47"/>
      <c r="E16" s="47"/>
      <c r="F16" s="43"/>
      <c r="G16" s="151">
        <v>228</v>
      </c>
      <c r="H16" s="151">
        <v>684</v>
      </c>
      <c r="I16" s="151">
        <f t="shared" si="1"/>
        <v>912</v>
      </c>
      <c r="J16" s="151"/>
      <c r="K16" s="151">
        <v>1200</v>
      </c>
      <c r="L16" s="337">
        <f t="shared" si="2"/>
        <v>-288</v>
      </c>
      <c r="M16" s="275">
        <f t="shared" si="0"/>
        <v>-0.24</v>
      </c>
    </row>
    <row r="17" spans="2:13" s="44" customFormat="1" ht="20.25" x14ac:dyDescent="0.2">
      <c r="B17" s="43"/>
      <c r="C17" s="47" t="s">
        <v>230</v>
      </c>
      <c r="D17" s="47"/>
      <c r="E17" s="47"/>
      <c r="F17" s="43"/>
      <c r="G17" s="151">
        <v>-405</v>
      </c>
      <c r="H17" s="151">
        <f>400*8-1000</f>
        <v>2200</v>
      </c>
      <c r="I17" s="151">
        <f t="shared" si="1"/>
        <v>1795</v>
      </c>
      <c r="J17" s="151"/>
      <c r="K17" s="151">
        <v>4680</v>
      </c>
      <c r="L17" s="337">
        <f t="shared" si="2"/>
        <v>-2885</v>
      </c>
      <c r="M17" s="275">
        <f t="shared" si="0"/>
        <v>-0.61645299145299148</v>
      </c>
    </row>
    <row r="18" spans="2:13" s="44" customFormat="1" ht="20.25" x14ac:dyDescent="0.2">
      <c r="B18" s="43"/>
      <c r="C18" s="47" t="s">
        <v>307</v>
      </c>
      <c r="D18" s="47"/>
      <c r="E18" s="47"/>
      <c r="F18" s="43"/>
      <c r="G18" s="151">
        <v>12304</v>
      </c>
      <c r="H18" s="151">
        <v>1500</v>
      </c>
      <c r="I18" s="151">
        <f t="shared" si="1"/>
        <v>13804</v>
      </c>
      <c r="J18" s="151"/>
      <c r="K18" s="151">
        <v>1500</v>
      </c>
      <c r="L18" s="337">
        <f t="shared" si="2"/>
        <v>12304</v>
      </c>
      <c r="M18" s="275">
        <f t="shared" si="0"/>
        <v>8.2026666666666674</v>
      </c>
    </row>
    <row r="19" spans="2:13" s="44" customFormat="1" ht="20.25" x14ac:dyDescent="0.2">
      <c r="B19" s="43"/>
      <c r="C19" s="47" t="s">
        <v>395</v>
      </c>
      <c r="D19" s="47"/>
      <c r="E19" s="47"/>
      <c r="F19" s="43"/>
      <c r="G19" s="151"/>
      <c r="H19" s="151"/>
      <c r="I19" s="151">
        <f t="shared" si="1"/>
        <v>0</v>
      </c>
      <c r="J19" s="151"/>
      <c r="K19" s="151"/>
      <c r="L19" s="337">
        <f t="shared" si="2"/>
        <v>0</v>
      </c>
      <c r="M19" s="275"/>
    </row>
    <row r="20" spans="2:13" s="44" customFormat="1" ht="20.25" x14ac:dyDescent="0.2">
      <c r="B20" s="43"/>
      <c r="C20" s="47"/>
      <c r="D20" s="47" t="s">
        <v>10</v>
      </c>
      <c r="E20" s="47"/>
      <c r="F20" s="43"/>
      <c r="G20" s="151">
        <f>10047-3000</f>
        <v>7047</v>
      </c>
      <c r="H20" s="151">
        <f>65179-H21-12000</f>
        <v>21179</v>
      </c>
      <c r="I20" s="151">
        <f t="shared" si="1"/>
        <v>28226</v>
      </c>
      <c r="J20" s="151"/>
      <c r="K20" s="151">
        <f>79293-48000</f>
        <v>31293</v>
      </c>
      <c r="L20" s="337">
        <f t="shared" si="2"/>
        <v>-3067</v>
      </c>
      <c r="M20" s="275">
        <f t="shared" si="0"/>
        <v>-9.8009139424152361E-2</v>
      </c>
    </row>
    <row r="21" spans="2:13" s="44" customFormat="1" ht="20.25" x14ac:dyDescent="0.2">
      <c r="B21" s="43"/>
      <c r="C21" s="481"/>
      <c r="D21" s="47" t="s">
        <v>15</v>
      </c>
      <c r="E21" s="481"/>
      <c r="F21" s="481"/>
      <c r="G21" s="151">
        <f>48000/12*4</f>
        <v>16000</v>
      </c>
      <c r="H21" s="151">
        <f>48000-G21</f>
        <v>32000</v>
      </c>
      <c r="I21" s="151">
        <f t="shared" si="1"/>
        <v>48000</v>
      </c>
      <c r="J21" s="151"/>
      <c r="K21" s="151">
        <v>48000</v>
      </c>
      <c r="L21" s="337">
        <f t="shared" si="2"/>
        <v>0</v>
      </c>
      <c r="M21" s="275">
        <f t="shared" si="0"/>
        <v>0</v>
      </c>
    </row>
    <row r="22" spans="2:13" s="44" customFormat="1" ht="20.25" x14ac:dyDescent="0.2">
      <c r="B22" s="43"/>
      <c r="C22" s="481"/>
      <c r="D22" s="47" t="s">
        <v>416</v>
      </c>
      <c r="E22" s="481"/>
      <c r="F22" s="481"/>
      <c r="G22" s="151">
        <v>3000</v>
      </c>
      <c r="H22" s="151">
        <v>12000</v>
      </c>
      <c r="I22" s="151">
        <f t="shared" si="1"/>
        <v>15000</v>
      </c>
      <c r="J22" s="151"/>
      <c r="K22" s="151">
        <v>0</v>
      </c>
      <c r="L22" s="337">
        <f t="shared" si="2"/>
        <v>15000</v>
      </c>
      <c r="M22" s="275"/>
    </row>
    <row r="23" spans="2:13" s="44" customFormat="1" ht="20.25" x14ac:dyDescent="0.2">
      <c r="B23" s="43"/>
      <c r="C23" s="47" t="s">
        <v>309</v>
      </c>
      <c r="D23" s="481"/>
      <c r="E23" s="481"/>
      <c r="F23" s="481"/>
      <c r="G23" s="151">
        <v>3150</v>
      </c>
      <c r="H23" s="151">
        <v>0</v>
      </c>
      <c r="I23" s="151">
        <f t="shared" si="1"/>
        <v>3150</v>
      </c>
      <c r="J23" s="151"/>
      <c r="K23" s="151"/>
      <c r="L23" s="337">
        <f t="shared" si="2"/>
        <v>3150</v>
      </c>
      <c r="M23" s="275"/>
    </row>
    <row r="24" spans="2:13" s="44" customFormat="1" ht="20.25" x14ac:dyDescent="0.2">
      <c r="B24" s="43"/>
      <c r="C24" s="47" t="s">
        <v>105</v>
      </c>
      <c r="D24" s="481"/>
      <c r="E24" s="481"/>
      <c r="F24" s="481"/>
      <c r="G24" s="151">
        <v>17580</v>
      </c>
      <c r="H24" s="151">
        <f>H35</f>
        <v>35160</v>
      </c>
      <c r="I24" s="151">
        <f t="shared" si="1"/>
        <v>52740</v>
      </c>
      <c r="J24" s="151"/>
      <c r="K24" s="151">
        <v>46576</v>
      </c>
      <c r="L24" s="337">
        <f t="shared" si="2"/>
        <v>6164</v>
      </c>
      <c r="M24" s="275">
        <f t="shared" si="0"/>
        <v>0.13234283751288217</v>
      </c>
    </row>
    <row r="25" spans="2:13" s="44" customFormat="1" ht="20.25" x14ac:dyDescent="0.2">
      <c r="B25" s="43"/>
      <c r="C25" s="47" t="s">
        <v>398</v>
      </c>
      <c r="D25" s="481"/>
      <c r="E25" s="481"/>
      <c r="F25" s="481"/>
      <c r="G25" s="151">
        <v>5055</v>
      </c>
      <c r="H25" s="151">
        <f>15000+250</f>
        <v>15250</v>
      </c>
      <c r="I25" s="151">
        <f t="shared" si="1"/>
        <v>20305</v>
      </c>
      <c r="J25" s="151"/>
      <c r="K25" s="151">
        <v>21600</v>
      </c>
      <c r="L25" s="337">
        <f t="shared" si="2"/>
        <v>-1295</v>
      </c>
      <c r="M25" s="275">
        <f t="shared" si="0"/>
        <v>-5.9953703703703703E-2</v>
      </c>
    </row>
    <row r="26" spans="2:13" s="44" customFormat="1" ht="20.25" x14ac:dyDescent="0.2">
      <c r="B26" s="43"/>
      <c r="C26" s="47" t="s">
        <v>98</v>
      </c>
      <c r="D26" s="481"/>
      <c r="E26" s="481"/>
      <c r="F26" s="481"/>
      <c r="G26" s="151">
        <f>18500/12*4</f>
        <v>6166.666666666667</v>
      </c>
      <c r="H26" s="151">
        <f>18500-G26</f>
        <v>12333.333333333332</v>
      </c>
      <c r="I26" s="151">
        <f t="shared" si="1"/>
        <v>18500</v>
      </c>
      <c r="J26" s="151"/>
      <c r="K26" s="151">
        <v>19000</v>
      </c>
      <c r="L26" s="337">
        <f t="shared" si="2"/>
        <v>-500</v>
      </c>
      <c r="M26" s="275">
        <f t="shared" si="0"/>
        <v>-2.6315789473684209E-2</v>
      </c>
    </row>
    <row r="27" spans="2:13" s="44" customFormat="1" ht="20.25" x14ac:dyDescent="0.2">
      <c r="B27" s="43"/>
      <c r="C27" s="47" t="s">
        <v>306</v>
      </c>
      <c r="D27" s="481"/>
      <c r="E27" s="481"/>
      <c r="F27" s="481"/>
      <c r="G27" s="151">
        <f>41600/12*4</f>
        <v>13866.666666666666</v>
      </c>
      <c r="H27" s="151">
        <f>3466.67*8</f>
        <v>27733.360000000001</v>
      </c>
      <c r="I27" s="151">
        <f t="shared" si="1"/>
        <v>41600.026666666665</v>
      </c>
      <c r="J27" s="151"/>
      <c r="K27" s="151">
        <v>50000</v>
      </c>
      <c r="L27" s="337">
        <f t="shared" si="2"/>
        <v>-8399.9733333333352</v>
      </c>
      <c r="M27" s="275">
        <f t="shared" si="0"/>
        <v>-0.16799946666666671</v>
      </c>
    </row>
    <row r="28" spans="2:13" s="44" customFormat="1" ht="20.25" x14ac:dyDescent="0.2">
      <c r="B28" s="43"/>
      <c r="C28" s="47" t="s">
        <v>308</v>
      </c>
      <c r="D28" s="481"/>
      <c r="E28" s="481"/>
      <c r="F28" s="481"/>
      <c r="G28" s="151">
        <f>27832-G26-G27</f>
        <v>7798.6666666666661</v>
      </c>
      <c r="H28" s="151">
        <v>11317</v>
      </c>
      <c r="I28" s="151">
        <f t="shared" si="1"/>
        <v>19115.666666666664</v>
      </c>
      <c r="J28" s="151"/>
      <c r="K28" s="151">
        <v>16835</v>
      </c>
      <c r="L28" s="337">
        <f t="shared" si="2"/>
        <v>2280.6666666666642</v>
      </c>
      <c r="M28" s="275">
        <f t="shared" si="0"/>
        <v>0.13547173547173533</v>
      </c>
    </row>
    <row r="29" spans="2:13" s="44" customFormat="1" ht="20.25" x14ac:dyDescent="0.2">
      <c r="B29" s="43"/>
      <c r="C29" s="47"/>
      <c r="D29" s="43" t="s">
        <v>101</v>
      </c>
      <c r="E29" s="47"/>
      <c r="F29" s="43"/>
      <c r="G29" s="159">
        <f>SUM(G8:G28)</f>
        <v>457054.00000000006</v>
      </c>
      <c r="H29" s="159">
        <f>SUM(H8:H28)</f>
        <v>990861.69333333336</v>
      </c>
      <c r="I29" s="159">
        <f>SUM(I8:I28)</f>
        <v>1447915.6933333334</v>
      </c>
      <c r="J29" s="159"/>
      <c r="K29" s="159">
        <f>SUM(K8:K28)</f>
        <v>1400835</v>
      </c>
      <c r="L29" s="488">
        <f>SUM(L8:L28)</f>
        <v>47080.693333333329</v>
      </c>
      <c r="M29" s="489">
        <f>L29/K29</f>
        <v>3.3609021286113872E-2</v>
      </c>
    </row>
    <row r="30" spans="2:13" s="44" customFormat="1" ht="20.25" x14ac:dyDescent="0.2">
      <c r="B30" s="43"/>
      <c r="C30" s="47"/>
      <c r="D30" s="43"/>
      <c r="E30" s="47"/>
      <c r="F30" s="43"/>
      <c r="G30" s="151"/>
      <c r="H30" s="151"/>
      <c r="I30" s="151"/>
      <c r="J30" s="151"/>
      <c r="K30" s="406"/>
    </row>
    <row r="31" spans="2:13" s="44" customFormat="1" ht="21" thickBot="1" x14ac:dyDescent="0.25">
      <c r="B31" s="55" t="s">
        <v>107</v>
      </c>
      <c r="C31" s="55"/>
      <c r="D31" s="55"/>
      <c r="E31" s="55"/>
      <c r="F31" s="55"/>
      <c r="G31" s="151"/>
      <c r="H31" s="151"/>
      <c r="I31" s="151"/>
      <c r="J31" s="151"/>
    </row>
    <row r="32" spans="2:13" s="44" customFormat="1" ht="20.25" x14ac:dyDescent="0.2">
      <c r="B32" s="43"/>
      <c r="C32" s="47" t="s">
        <v>108</v>
      </c>
      <c r="D32" s="47"/>
      <c r="E32" s="47"/>
      <c r="F32" s="47"/>
      <c r="G32" s="151">
        <v>276045.51</v>
      </c>
      <c r="H32" s="151">
        <v>641500</v>
      </c>
      <c r="I32" s="151">
        <f>SUM(G32:H32)</f>
        <v>917545.51</v>
      </c>
      <c r="J32" s="151"/>
      <c r="K32" s="490">
        <v>932770</v>
      </c>
      <c r="L32" s="337">
        <f>I32-K32</f>
        <v>-15224.489999999991</v>
      </c>
      <c r="M32" s="289">
        <f>L32/K32</f>
        <v>-1.6321804946557019E-2</v>
      </c>
    </row>
    <row r="33" spans="2:13" s="44" customFormat="1" ht="20.25" x14ac:dyDescent="0.2">
      <c r="B33" s="43"/>
      <c r="C33" s="47" t="s">
        <v>109</v>
      </c>
      <c r="D33" s="47"/>
      <c r="E33" s="47"/>
      <c r="F33" s="47"/>
      <c r="G33" s="151">
        <f>60096.8</f>
        <v>60096.800000000003</v>
      </c>
      <c r="H33" s="151">
        <v>131256</v>
      </c>
      <c r="I33" s="151">
        <f>SUM(G33:H33)</f>
        <v>191352.8</v>
      </c>
      <c r="J33" s="151"/>
      <c r="K33" s="186">
        <v>181856</v>
      </c>
      <c r="L33" s="337">
        <f>I33-K33</f>
        <v>9496.7999999999884</v>
      </c>
      <c r="M33" s="289">
        <f>L33/K33</f>
        <v>5.2221537920112554E-2</v>
      </c>
    </row>
    <row r="34" spans="2:13" s="44" customFormat="1" ht="20.25" x14ac:dyDescent="0.2">
      <c r="B34" s="43"/>
      <c r="C34" s="47" t="s">
        <v>110</v>
      </c>
      <c r="D34" s="47"/>
      <c r="E34" s="47"/>
      <c r="F34" s="47"/>
      <c r="G34" s="151">
        <v>600</v>
      </c>
      <c r="H34" s="151">
        <f>150*8</f>
        <v>1200</v>
      </c>
      <c r="I34" s="151">
        <f t="shared" ref="I34:K49" si="3">SUM(G34:H34)</f>
        <v>1800</v>
      </c>
      <c r="J34" s="151"/>
      <c r="K34" s="186">
        <v>1800</v>
      </c>
      <c r="L34" s="337">
        <f t="shared" ref="L34:L49" si="4">I34-K34</f>
        <v>0</v>
      </c>
      <c r="M34" s="289">
        <f t="shared" ref="M34:M49" si="5">L34/K34</f>
        <v>0</v>
      </c>
    </row>
    <row r="35" spans="2:13" s="44" customFormat="1" ht="20.25" x14ac:dyDescent="0.2">
      <c r="B35" s="43"/>
      <c r="C35" s="47" t="s">
        <v>100</v>
      </c>
      <c r="D35" s="47"/>
      <c r="E35" s="47"/>
      <c r="F35" s="47"/>
      <c r="G35" s="151">
        <v>17580</v>
      </c>
      <c r="H35" s="151">
        <f>G35/4*8</f>
        <v>35160</v>
      </c>
      <c r="I35" s="151">
        <f t="shared" si="3"/>
        <v>52740</v>
      </c>
      <c r="J35" s="151"/>
      <c r="K35" s="186">
        <v>46576</v>
      </c>
      <c r="L35" s="337">
        <f t="shared" si="4"/>
        <v>6164</v>
      </c>
      <c r="M35" s="289">
        <f t="shared" si="5"/>
        <v>0.13234283751288217</v>
      </c>
    </row>
    <row r="36" spans="2:13" s="44" customFormat="1" ht="20.25" x14ac:dyDescent="0.2">
      <c r="B36" s="43"/>
      <c r="C36" s="47" t="s">
        <v>111</v>
      </c>
      <c r="D36" s="47"/>
      <c r="E36" s="47"/>
      <c r="F36" s="47"/>
      <c r="G36" s="151">
        <v>6970</v>
      </c>
      <c r="H36" s="151">
        <v>13232</v>
      </c>
      <c r="I36" s="151">
        <f t="shared" si="3"/>
        <v>20202</v>
      </c>
      <c r="J36" s="151"/>
      <c r="K36" s="186">
        <v>19873</v>
      </c>
      <c r="L36" s="337">
        <f t="shared" si="4"/>
        <v>329</v>
      </c>
      <c r="M36" s="289">
        <f t="shared" si="5"/>
        <v>1.6555125044029589E-2</v>
      </c>
    </row>
    <row r="37" spans="2:13" s="44" customFormat="1" ht="20.25" x14ac:dyDescent="0.2">
      <c r="B37" s="43"/>
      <c r="C37" s="47" t="s">
        <v>112</v>
      </c>
      <c r="D37" s="47"/>
      <c r="E37" s="47"/>
      <c r="F37" s="47"/>
      <c r="G37" s="151">
        <v>983</v>
      </c>
      <c r="H37" s="151">
        <f>2736-983</f>
        <v>1753</v>
      </c>
      <c r="I37" s="151">
        <f t="shared" si="3"/>
        <v>2736</v>
      </c>
      <c r="J37" s="151"/>
      <c r="K37" s="186">
        <v>2736</v>
      </c>
      <c r="L37" s="337">
        <f t="shared" si="4"/>
        <v>0</v>
      </c>
      <c r="M37" s="289">
        <f t="shared" si="5"/>
        <v>0</v>
      </c>
    </row>
    <row r="38" spans="2:13" s="44" customFormat="1" ht="20.25" x14ac:dyDescent="0.2">
      <c r="B38" s="43"/>
      <c r="C38" s="47" t="s">
        <v>113</v>
      </c>
      <c r="D38" s="47"/>
      <c r="E38" s="47"/>
      <c r="F38" s="47"/>
      <c r="G38" s="151">
        <v>1426</v>
      </c>
      <c r="H38" s="151">
        <v>4352</v>
      </c>
      <c r="I38" s="151">
        <f t="shared" si="3"/>
        <v>5778</v>
      </c>
      <c r="J38" s="151"/>
      <c r="K38" s="186">
        <v>5022</v>
      </c>
      <c r="L38" s="337">
        <f t="shared" si="4"/>
        <v>756</v>
      </c>
      <c r="M38" s="289">
        <f t="shared" si="5"/>
        <v>0.15053763440860216</v>
      </c>
    </row>
    <row r="39" spans="2:13" s="44" customFormat="1" ht="20.25" x14ac:dyDescent="0.2">
      <c r="B39" s="43"/>
      <c r="C39" s="47" t="s">
        <v>114</v>
      </c>
      <c r="D39" s="47"/>
      <c r="E39" s="47"/>
      <c r="F39" s="47"/>
      <c r="G39" s="151">
        <v>286</v>
      </c>
      <c r="H39" s="151">
        <v>7958</v>
      </c>
      <c r="I39" s="151">
        <f t="shared" si="3"/>
        <v>8244</v>
      </c>
      <c r="J39" s="151"/>
      <c r="K39" s="186">
        <v>6244</v>
      </c>
      <c r="L39" s="337">
        <f t="shared" si="4"/>
        <v>2000</v>
      </c>
      <c r="M39" s="289">
        <f t="shared" si="5"/>
        <v>0.32030749519538759</v>
      </c>
    </row>
    <row r="40" spans="2:13" s="44" customFormat="1" ht="20.25" x14ac:dyDescent="0.2">
      <c r="B40" s="43"/>
      <c r="C40" s="47" t="s">
        <v>115</v>
      </c>
      <c r="D40" s="47"/>
      <c r="E40" s="47"/>
      <c r="F40" s="47"/>
      <c r="G40" s="151">
        <v>14139</v>
      </c>
      <c r="H40" s="151">
        <f>27582</f>
        <v>27582</v>
      </c>
      <c r="I40" s="151">
        <f t="shared" si="3"/>
        <v>41721</v>
      </c>
      <c r="J40" s="151"/>
      <c r="K40" s="186">
        <v>40180</v>
      </c>
      <c r="L40" s="337">
        <f t="shared" si="4"/>
        <v>1541</v>
      </c>
      <c r="M40" s="289">
        <f t="shared" si="5"/>
        <v>3.8352414136386265E-2</v>
      </c>
    </row>
    <row r="41" spans="2:13" s="44" customFormat="1" ht="20.25" x14ac:dyDescent="0.2">
      <c r="B41" s="43"/>
      <c r="C41" s="47" t="s">
        <v>116</v>
      </c>
      <c r="D41" s="47"/>
      <c r="E41" s="47"/>
      <c r="F41" s="47"/>
      <c r="G41" s="151">
        <v>2253</v>
      </c>
      <c r="H41" s="151">
        <v>2960</v>
      </c>
      <c r="I41" s="151">
        <f t="shared" si="3"/>
        <v>5213</v>
      </c>
      <c r="J41" s="151"/>
      <c r="K41" s="186">
        <v>4270</v>
      </c>
      <c r="L41" s="337">
        <f t="shared" si="4"/>
        <v>943</v>
      </c>
      <c r="M41" s="289">
        <f t="shared" si="5"/>
        <v>0.2208430913348946</v>
      </c>
    </row>
    <row r="42" spans="2:13" s="44" customFormat="1" ht="20.25" x14ac:dyDescent="0.2">
      <c r="B42" s="43"/>
      <c r="C42" s="47" t="s">
        <v>117</v>
      </c>
      <c r="D42" s="47"/>
      <c r="E42" s="47"/>
      <c r="F42" s="47"/>
      <c r="G42" s="151">
        <v>386</v>
      </c>
      <c r="H42" s="151">
        <f>1020-G42</f>
        <v>634</v>
      </c>
      <c r="I42" s="151">
        <f t="shared" si="3"/>
        <v>1020</v>
      </c>
      <c r="J42" s="151"/>
      <c r="K42" s="186">
        <v>1020</v>
      </c>
      <c r="L42" s="337">
        <f t="shared" si="4"/>
        <v>0</v>
      </c>
      <c r="M42" s="289">
        <f t="shared" si="5"/>
        <v>0</v>
      </c>
    </row>
    <row r="43" spans="2:13" s="44" customFormat="1" ht="20.25" x14ac:dyDescent="0.2">
      <c r="B43" s="43"/>
      <c r="C43" s="47" t="s">
        <v>161</v>
      </c>
      <c r="D43" s="47"/>
      <c r="E43" s="47"/>
      <c r="F43" s="47"/>
      <c r="G43" s="151">
        <v>10200</v>
      </c>
      <c r="H43" s="151">
        <f>2800+125+25</f>
        <v>2950</v>
      </c>
      <c r="I43" s="151">
        <f t="shared" si="3"/>
        <v>13150</v>
      </c>
      <c r="J43" s="151"/>
      <c r="K43" s="186">
        <v>13618</v>
      </c>
      <c r="L43" s="337">
        <f t="shared" si="4"/>
        <v>-468</v>
      </c>
      <c r="M43" s="289">
        <f t="shared" si="5"/>
        <v>-3.4366279923630491E-2</v>
      </c>
    </row>
    <row r="44" spans="2:13" s="44" customFormat="1" ht="20.25" x14ac:dyDescent="0.2">
      <c r="B44" s="43"/>
      <c r="C44" s="792" t="s">
        <v>311</v>
      </c>
      <c r="D44" s="792"/>
      <c r="E44" s="792"/>
      <c r="F44" s="792"/>
      <c r="G44" s="151"/>
      <c r="H44" s="151">
        <f>SUM([1]Transportaton!N46:S46)</f>
        <v>0</v>
      </c>
      <c r="I44" s="151">
        <f t="shared" si="3"/>
        <v>0</v>
      </c>
      <c r="J44" s="151"/>
      <c r="K44" s="151">
        <f t="shared" si="3"/>
        <v>0</v>
      </c>
      <c r="L44" s="337">
        <f t="shared" si="4"/>
        <v>0</v>
      </c>
      <c r="M44" s="289"/>
    </row>
    <row r="45" spans="2:13" s="44" customFormat="1" ht="20.25" x14ac:dyDescent="0.2">
      <c r="B45" s="43"/>
      <c r="C45" s="47" t="s">
        <v>118</v>
      </c>
      <c r="D45" s="47"/>
      <c r="E45" s="47"/>
      <c r="F45" s="47"/>
      <c r="G45" s="151">
        <v>7626</v>
      </c>
      <c r="H45" s="151">
        <v>7740</v>
      </c>
      <c r="I45" s="151">
        <f t="shared" si="3"/>
        <v>15366</v>
      </c>
      <c r="J45" s="151"/>
      <c r="K45" s="186">
        <v>13802</v>
      </c>
      <c r="L45" s="337">
        <f t="shared" si="4"/>
        <v>1564</v>
      </c>
      <c r="M45" s="289">
        <f t="shared" si="5"/>
        <v>0.11331691059266773</v>
      </c>
    </row>
    <row r="46" spans="2:13" s="44" customFormat="1" ht="20.25" x14ac:dyDescent="0.2">
      <c r="B46" s="43"/>
      <c r="C46" s="47" t="s">
        <v>119</v>
      </c>
      <c r="D46" s="47"/>
      <c r="E46" s="47"/>
      <c r="F46" s="47"/>
      <c r="G46" s="151">
        <v>3742</v>
      </c>
      <c r="H46" s="151">
        <v>7566</v>
      </c>
      <c r="I46" s="151">
        <f t="shared" si="3"/>
        <v>11308</v>
      </c>
      <c r="J46" s="151"/>
      <c r="K46" s="186">
        <v>10740</v>
      </c>
      <c r="L46" s="337">
        <f t="shared" si="4"/>
        <v>568</v>
      </c>
      <c r="M46" s="289">
        <f t="shared" si="5"/>
        <v>5.2886405959031657E-2</v>
      </c>
    </row>
    <row r="47" spans="2:13" s="44" customFormat="1" ht="20.25" x14ac:dyDescent="0.2">
      <c r="B47" s="43"/>
      <c r="C47" s="47" t="s">
        <v>126</v>
      </c>
      <c r="D47" s="47"/>
      <c r="E47" s="47"/>
      <c r="F47" s="47"/>
      <c r="G47" s="151">
        <v>340</v>
      </c>
      <c r="H47" s="151">
        <v>1140</v>
      </c>
      <c r="I47" s="151">
        <f t="shared" si="3"/>
        <v>1480</v>
      </c>
      <c r="J47" s="151"/>
      <c r="K47" s="186">
        <v>1470</v>
      </c>
      <c r="L47" s="337">
        <f t="shared" si="4"/>
        <v>10</v>
      </c>
      <c r="M47" s="289">
        <f t="shared" si="5"/>
        <v>6.8027210884353739E-3</v>
      </c>
    </row>
    <row r="48" spans="2:13" s="44" customFormat="1" ht="20.25" x14ac:dyDescent="0.2">
      <c r="B48" s="43"/>
      <c r="C48" s="47" t="s">
        <v>120</v>
      </c>
      <c r="D48" s="47"/>
      <c r="E48" s="47"/>
      <c r="F48" s="47"/>
      <c r="G48" s="151"/>
      <c r="H48" s="151">
        <v>2500</v>
      </c>
      <c r="I48" s="151">
        <f t="shared" si="3"/>
        <v>2500</v>
      </c>
      <c r="J48" s="151"/>
      <c r="K48" s="186">
        <v>3000</v>
      </c>
      <c r="L48" s="337">
        <f t="shared" si="4"/>
        <v>-500</v>
      </c>
      <c r="M48" s="289">
        <f t="shared" si="5"/>
        <v>-0.16666666666666666</v>
      </c>
    </row>
    <row r="49" spans="2:13" s="44" customFormat="1" ht="20.25" customHeight="1" x14ac:dyDescent="0.2">
      <c r="B49" s="43"/>
      <c r="C49" s="47" t="s">
        <v>193</v>
      </c>
      <c r="D49" s="47"/>
      <c r="E49" s="47"/>
      <c r="F49" s="47"/>
      <c r="G49" s="151">
        <v>462</v>
      </c>
      <c r="H49" s="151">
        <v>4500</v>
      </c>
      <c r="I49" s="151">
        <f t="shared" si="3"/>
        <v>4962</v>
      </c>
      <c r="J49" s="151"/>
      <c r="K49" s="186">
        <v>9980</v>
      </c>
      <c r="L49" s="337">
        <f t="shared" si="4"/>
        <v>-5018</v>
      </c>
      <c r="M49" s="289">
        <f t="shared" si="5"/>
        <v>-0.50280561122244494</v>
      </c>
    </row>
    <row r="50" spans="2:13" s="44" customFormat="1" ht="20.25" x14ac:dyDescent="0.2">
      <c r="B50" s="47"/>
      <c r="C50" s="47" t="s">
        <v>122</v>
      </c>
      <c r="D50" s="47"/>
      <c r="E50" s="47"/>
      <c r="F50" s="47"/>
      <c r="G50" s="151">
        <v>5810</v>
      </c>
      <c r="H50" s="151">
        <v>21380</v>
      </c>
      <c r="I50" s="151">
        <f>G50+H50</f>
        <v>27190</v>
      </c>
      <c r="J50" s="151"/>
      <c r="K50" s="186">
        <v>8437</v>
      </c>
      <c r="L50" s="337">
        <f>I50-K50</f>
        <v>18753</v>
      </c>
      <c r="M50" s="289">
        <f>L50/K50</f>
        <v>2.2227094938959344</v>
      </c>
    </row>
    <row r="51" spans="2:13" s="44" customFormat="1" ht="20.25" x14ac:dyDescent="0.2">
      <c r="B51" s="43"/>
      <c r="C51" s="47" t="s">
        <v>160</v>
      </c>
      <c r="D51" s="47"/>
      <c r="E51" s="47"/>
      <c r="F51" s="47"/>
      <c r="G51" s="151">
        <v>18022</v>
      </c>
      <c r="H51" s="151">
        <v>39426</v>
      </c>
      <c r="I51" s="151">
        <f t="shared" ref="I51:I53" si="6">G51+H51</f>
        <v>57448</v>
      </c>
      <c r="J51" s="151"/>
      <c r="K51" s="186">
        <v>54075</v>
      </c>
      <c r="L51" s="337">
        <f t="shared" ref="L51:L53" si="7">I51-K51</f>
        <v>3373</v>
      </c>
      <c r="M51" s="289">
        <f t="shared" ref="M51:M54" si="8">L51/K51</f>
        <v>6.2376329172445677E-2</v>
      </c>
    </row>
    <row r="52" spans="2:13" s="44" customFormat="1" ht="20.25" x14ac:dyDescent="0.2">
      <c r="B52" s="43"/>
      <c r="C52" s="47" t="s">
        <v>123</v>
      </c>
      <c r="D52" s="47"/>
      <c r="E52" s="47"/>
      <c r="F52" s="47"/>
      <c r="G52" s="151">
        <v>39998</v>
      </c>
      <c r="H52" s="151">
        <v>31489</v>
      </c>
      <c r="I52" s="151">
        <f t="shared" si="6"/>
        <v>71487</v>
      </c>
      <c r="J52" s="151"/>
      <c r="K52" s="186">
        <v>42592</v>
      </c>
      <c r="L52" s="337">
        <f t="shared" si="7"/>
        <v>28895</v>
      </c>
      <c r="M52" s="289">
        <f t="shared" si="8"/>
        <v>0.67841378662659657</v>
      </c>
    </row>
    <row r="53" spans="2:13" s="44" customFormat="1" ht="21" thickBot="1" x14ac:dyDescent="0.25">
      <c r="B53" s="43"/>
      <c r="C53" s="47" t="s">
        <v>385</v>
      </c>
      <c r="D53" s="47"/>
      <c r="E53" s="47"/>
      <c r="F53" s="47"/>
      <c r="G53" s="158">
        <v>660</v>
      </c>
      <c r="H53" s="153">
        <f>660/4*5</f>
        <v>825</v>
      </c>
      <c r="I53" s="153">
        <f t="shared" si="6"/>
        <v>1485</v>
      </c>
      <c r="J53" s="153"/>
      <c r="K53" s="491">
        <v>1980</v>
      </c>
      <c r="L53" s="340">
        <f t="shared" si="7"/>
        <v>-495</v>
      </c>
      <c r="M53" s="289">
        <f t="shared" si="8"/>
        <v>-0.25</v>
      </c>
    </row>
    <row r="54" spans="2:13" s="44" customFormat="1" ht="20.25" x14ac:dyDescent="0.2">
      <c r="B54" s="47"/>
      <c r="C54" s="43"/>
      <c r="D54" s="43"/>
      <c r="G54" s="151">
        <f>SUM(G32:G53)</f>
        <v>467625.31</v>
      </c>
      <c r="H54" s="151">
        <f>SUM(H32:H53)</f>
        <v>987103</v>
      </c>
      <c r="I54" s="151">
        <f>SUM(I32:I53)</f>
        <v>1454728.31</v>
      </c>
      <c r="J54" s="151"/>
      <c r="K54" s="151">
        <f>SUM(K32:K53)</f>
        <v>1402041</v>
      </c>
      <c r="L54" s="151">
        <f>SUM(L32:L53)</f>
        <v>52687.31</v>
      </c>
      <c r="M54" s="489">
        <f t="shared" si="8"/>
        <v>3.7579008031862121E-2</v>
      </c>
    </row>
    <row r="55" spans="2:13" s="44" customFormat="1" ht="8.25" customHeight="1" x14ac:dyDescent="0.2">
      <c r="B55" s="47"/>
      <c r="C55" s="43"/>
      <c r="D55" s="43"/>
      <c r="G55" s="151"/>
      <c r="H55" s="151"/>
      <c r="I55" s="151"/>
      <c r="J55" s="151"/>
      <c r="K55" s="151"/>
    </row>
    <row r="56" spans="2:13" s="44" customFormat="1" ht="20.25" x14ac:dyDescent="0.2">
      <c r="B56" s="47"/>
      <c r="C56" s="492" t="s">
        <v>399</v>
      </c>
      <c r="D56"/>
      <c r="E56" s="43"/>
      <c r="F56" s="43"/>
      <c r="G56" s="159">
        <f>G29-G54</f>
        <v>-10571.309999999939</v>
      </c>
      <c r="H56" s="159">
        <f>H29-H54</f>
        <v>3758.6933333333582</v>
      </c>
      <c r="I56" s="159">
        <f>G56+H56</f>
        <v>-6812.6166666665813</v>
      </c>
      <c r="J56" s="151"/>
      <c r="K56" s="159">
        <f>K29-K54</f>
        <v>-1206</v>
      </c>
      <c r="L56" s="493">
        <f t="shared" ref="L56" si="9">I56-K56</f>
        <v>-5606.6166666665813</v>
      </c>
      <c r="M56" s="489">
        <f t="shared" ref="M56" si="10">L56/K56</f>
        <v>4.6489358761746118</v>
      </c>
    </row>
    <row r="57" spans="2:13" s="44" customFormat="1" ht="9" customHeight="1" x14ac:dyDescent="0.2">
      <c r="B57" s="47"/>
      <c r="C57" s="47"/>
      <c r="D57" s="47"/>
      <c r="E57" s="47"/>
      <c r="F57" s="47"/>
      <c r="G57" s="151"/>
      <c r="H57" s="151"/>
      <c r="I57" s="151"/>
      <c r="J57" s="151"/>
      <c r="K57" s="151"/>
    </row>
    <row r="58" spans="2:13" s="44" customFormat="1" ht="20.25" x14ac:dyDescent="0.2">
      <c r="B58" s="47"/>
      <c r="C58" s="47" t="s">
        <v>121</v>
      </c>
      <c r="D58" s="47"/>
      <c r="F58" s="47"/>
      <c r="G58" s="151">
        <v>12820</v>
      </c>
      <c r="H58" s="151">
        <f>25640+6</f>
        <v>25646</v>
      </c>
      <c r="I58" s="151">
        <f>G58+H58</f>
        <v>38466</v>
      </c>
      <c r="J58" s="151"/>
      <c r="K58" s="151">
        <v>34092</v>
      </c>
    </row>
    <row r="59" spans="2:13" s="44" customFormat="1" ht="9" customHeight="1" x14ac:dyDescent="0.2">
      <c r="B59" s="47"/>
      <c r="C59" s="47"/>
      <c r="D59" s="47"/>
      <c r="E59" s="47"/>
      <c r="F59" s="47"/>
      <c r="G59" s="151"/>
      <c r="H59" s="151"/>
      <c r="I59" s="151"/>
      <c r="J59" s="151"/>
      <c r="K59" s="151"/>
    </row>
    <row r="60" spans="2:13" s="44" customFormat="1" ht="21" thickBot="1" x14ac:dyDescent="0.25">
      <c r="B60" s="43"/>
      <c r="C60" s="492" t="s">
        <v>400</v>
      </c>
      <c r="D60"/>
      <c r="E60"/>
      <c r="F60"/>
      <c r="G60" s="494">
        <f>G56-G58</f>
        <v>-23391.309999999939</v>
      </c>
      <c r="H60" s="494">
        <f>H56-H58</f>
        <v>-21887.306666666642</v>
      </c>
      <c r="I60" s="494">
        <f>I56-I58</f>
        <v>-45278.616666666581</v>
      </c>
      <c r="J60" s="154"/>
      <c r="K60" s="494">
        <f>K56-K58</f>
        <v>-35298</v>
      </c>
    </row>
    <row r="61" spans="2:13" s="44" customFormat="1" ht="21" thickTop="1" x14ac:dyDescent="0.2">
      <c r="B61" s="43"/>
      <c r="C61" s="43"/>
      <c r="D61" s="43"/>
      <c r="E61" s="43"/>
      <c r="F61" s="43"/>
      <c r="G61" s="154"/>
      <c r="H61" s="154"/>
      <c r="I61" s="154"/>
      <c r="J61" s="154"/>
      <c r="K61" s="154"/>
    </row>
    <row r="62" spans="2:13" s="44" customFormat="1" ht="23.25" x14ac:dyDescent="0.2">
      <c r="B62" s="179"/>
      <c r="C62" s="43"/>
      <c r="D62" s="43"/>
      <c r="E62" s="43"/>
      <c r="F62" s="43"/>
      <c r="G62" s="151"/>
      <c r="H62" s="151"/>
      <c r="I62" s="151"/>
      <c r="J62" s="151"/>
      <c r="K62" s="151"/>
    </row>
    <row r="63" spans="2:13" s="44" customFormat="1" ht="20.25" x14ac:dyDescent="0.2">
      <c r="B63" s="47"/>
      <c r="D63" s="47"/>
      <c r="E63" s="47"/>
      <c r="F63" s="47"/>
      <c r="G63" s="151"/>
      <c r="H63" s="151"/>
      <c r="I63" s="151"/>
      <c r="J63" s="151"/>
      <c r="K63" s="151"/>
    </row>
    <row r="64" spans="2:13" s="44" customFormat="1" ht="20.25" x14ac:dyDescent="0.2">
      <c r="B64" s="47"/>
      <c r="D64" s="47"/>
      <c r="E64" s="47"/>
      <c r="F64" s="43" t="s">
        <v>401</v>
      </c>
      <c r="G64" s="151"/>
      <c r="H64" s="151"/>
      <c r="I64" s="151"/>
      <c r="J64" s="151"/>
      <c r="K64" s="151"/>
    </row>
    <row r="65" spans="6:6" s="44" customFormat="1" ht="20.25" x14ac:dyDescent="0.2">
      <c r="F65" s="514" t="s">
        <v>417</v>
      </c>
    </row>
    <row r="66" spans="6:6" s="44" customFormat="1" ht="20.25" x14ac:dyDescent="0.2">
      <c r="F66" s="514" t="s">
        <v>418</v>
      </c>
    </row>
    <row r="67" spans="6:6" s="44" customFormat="1" ht="20.25" x14ac:dyDescent="0.2">
      <c r="F67" s="514" t="s">
        <v>419</v>
      </c>
    </row>
  </sheetData>
  <mergeCells count="3">
    <mergeCell ref="G5:K5"/>
    <mergeCell ref="L7:M7"/>
    <mergeCell ref="C44:F44"/>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J235"/>
  <sheetViews>
    <sheetView zoomScale="68" zoomScaleNormal="68" workbookViewId="0">
      <selection activeCell="H37" sqref="H37"/>
    </sheetView>
  </sheetViews>
  <sheetFormatPr defaultRowHeight="15" x14ac:dyDescent="0.25"/>
  <cols>
    <col min="2" max="2" width="1.875" style="34" customWidth="1"/>
    <col min="3" max="3" width="85.125" style="34" customWidth="1"/>
    <col min="4" max="6" width="17.125" style="77" customWidth="1"/>
    <col min="7" max="7" width="18.75" style="77" customWidth="1"/>
    <col min="8" max="8" width="16.875" style="419" customWidth="1"/>
    <col min="9" max="9" width="11.75" style="601" customWidth="1"/>
    <col min="10" max="10" width="19.25" style="19" hidden="1" customWidth="1"/>
    <col min="11" max="11" width="12.625" customWidth="1"/>
    <col min="252" max="252" width="2.875" customWidth="1"/>
    <col min="253" max="253" width="49" customWidth="1"/>
    <col min="254" max="254" width="16.875" bestFit="1" customWidth="1"/>
    <col min="255" max="255" width="13.625" bestFit="1" customWidth="1"/>
    <col min="256" max="256" width="15.375" bestFit="1" customWidth="1"/>
    <col min="257" max="257" width="7.5" bestFit="1" customWidth="1"/>
    <col min="258" max="258" width="15.25" customWidth="1"/>
    <col min="259" max="259" width="7.5" bestFit="1" customWidth="1"/>
    <col min="260" max="260" width="15.375" bestFit="1" customWidth="1"/>
    <col min="261" max="261" width="7.5" bestFit="1" customWidth="1"/>
    <col min="262" max="262" width="15.375" bestFit="1" customWidth="1"/>
    <col min="263" max="263" width="7.5" bestFit="1" customWidth="1"/>
    <col min="264" max="264" width="16.875" bestFit="1" customWidth="1"/>
    <col min="508" max="508" width="2.875" customWidth="1"/>
    <col min="509" max="509" width="49" customWidth="1"/>
    <col min="510" max="510" width="16.875" bestFit="1" customWidth="1"/>
    <col min="511" max="511" width="13.625" bestFit="1" customWidth="1"/>
    <col min="512" max="512" width="15.375" bestFit="1" customWidth="1"/>
    <col min="513" max="513" width="7.5" bestFit="1" customWidth="1"/>
    <col min="514" max="514" width="15.25" customWidth="1"/>
    <col min="515" max="515" width="7.5" bestFit="1" customWidth="1"/>
    <col min="516" max="516" width="15.375" bestFit="1" customWidth="1"/>
    <col min="517" max="517" width="7.5" bestFit="1" customWidth="1"/>
    <col min="518" max="518" width="15.375" bestFit="1" customWidth="1"/>
    <col min="519" max="519" width="7.5" bestFit="1" customWidth="1"/>
    <col min="520" max="520" width="16.875" bestFit="1" customWidth="1"/>
    <col min="764" max="764" width="2.875" customWidth="1"/>
    <col min="765" max="765" width="49" customWidth="1"/>
    <col min="766" max="766" width="16.875" bestFit="1" customWidth="1"/>
    <col min="767" max="767" width="13.625" bestFit="1" customWidth="1"/>
    <col min="768" max="768" width="15.375" bestFit="1" customWidth="1"/>
    <col min="769" max="769" width="7.5" bestFit="1" customWidth="1"/>
    <col min="770" max="770" width="15.25" customWidth="1"/>
    <col min="771" max="771" width="7.5" bestFit="1" customWidth="1"/>
    <col min="772" max="772" width="15.375" bestFit="1" customWidth="1"/>
    <col min="773" max="773" width="7.5" bestFit="1" customWidth="1"/>
    <col min="774" max="774" width="15.375" bestFit="1" customWidth="1"/>
    <col min="775" max="775" width="7.5" bestFit="1" customWidth="1"/>
    <col min="776" max="776" width="16.875" bestFit="1" customWidth="1"/>
    <col min="1020" max="1020" width="2.875" customWidth="1"/>
    <col min="1021" max="1021" width="49" customWidth="1"/>
    <col min="1022" max="1022" width="16.875" bestFit="1" customWidth="1"/>
    <col min="1023" max="1023" width="13.625" bestFit="1" customWidth="1"/>
    <col min="1024" max="1024" width="15.375" bestFit="1" customWidth="1"/>
    <col min="1025" max="1025" width="7.5" bestFit="1" customWidth="1"/>
    <col min="1026" max="1026" width="15.25" customWidth="1"/>
    <col min="1027" max="1027" width="7.5" bestFit="1" customWidth="1"/>
    <col min="1028" max="1028" width="15.375" bestFit="1" customWidth="1"/>
    <col min="1029" max="1029" width="7.5" bestFit="1" customWidth="1"/>
    <col min="1030" max="1030" width="15.375" bestFit="1" customWidth="1"/>
    <col min="1031" max="1031" width="7.5" bestFit="1" customWidth="1"/>
    <col min="1032" max="1032" width="16.875" bestFit="1" customWidth="1"/>
    <col min="1276" max="1276" width="2.875" customWidth="1"/>
    <col min="1277" max="1277" width="49" customWidth="1"/>
    <col min="1278" max="1278" width="16.875" bestFit="1" customWidth="1"/>
    <col min="1279" max="1279" width="13.625" bestFit="1" customWidth="1"/>
    <col min="1280" max="1280" width="15.375" bestFit="1" customWidth="1"/>
    <col min="1281" max="1281" width="7.5" bestFit="1" customWidth="1"/>
    <col min="1282" max="1282" width="15.25" customWidth="1"/>
    <col min="1283" max="1283" width="7.5" bestFit="1" customWidth="1"/>
    <col min="1284" max="1284" width="15.375" bestFit="1" customWidth="1"/>
    <col min="1285" max="1285" width="7.5" bestFit="1" customWidth="1"/>
    <col min="1286" max="1286" width="15.375" bestFit="1" customWidth="1"/>
    <col min="1287" max="1287" width="7.5" bestFit="1" customWidth="1"/>
    <col min="1288" max="1288" width="16.875" bestFit="1" customWidth="1"/>
    <col min="1532" max="1532" width="2.875" customWidth="1"/>
    <col min="1533" max="1533" width="49" customWidth="1"/>
    <col min="1534" max="1534" width="16.875" bestFit="1" customWidth="1"/>
    <col min="1535" max="1535" width="13.625" bestFit="1" customWidth="1"/>
    <col min="1536" max="1536" width="15.375" bestFit="1" customWidth="1"/>
    <col min="1537" max="1537" width="7.5" bestFit="1" customWidth="1"/>
    <col min="1538" max="1538" width="15.25" customWidth="1"/>
    <col min="1539" max="1539" width="7.5" bestFit="1" customWidth="1"/>
    <col min="1540" max="1540" width="15.375" bestFit="1" customWidth="1"/>
    <col min="1541" max="1541" width="7.5" bestFit="1" customWidth="1"/>
    <col min="1542" max="1542" width="15.375" bestFit="1" customWidth="1"/>
    <col min="1543" max="1543" width="7.5" bestFit="1" customWidth="1"/>
    <col min="1544" max="1544" width="16.875" bestFit="1" customWidth="1"/>
    <col min="1788" max="1788" width="2.875" customWidth="1"/>
    <col min="1789" max="1789" width="49" customWidth="1"/>
    <col min="1790" max="1790" width="16.875" bestFit="1" customWidth="1"/>
    <col min="1791" max="1791" width="13.625" bestFit="1" customWidth="1"/>
    <col min="1792" max="1792" width="15.375" bestFit="1" customWidth="1"/>
    <col min="1793" max="1793" width="7.5" bestFit="1" customWidth="1"/>
    <col min="1794" max="1794" width="15.25" customWidth="1"/>
    <col min="1795" max="1795" width="7.5" bestFit="1" customWidth="1"/>
    <col min="1796" max="1796" width="15.375" bestFit="1" customWidth="1"/>
    <col min="1797" max="1797" width="7.5" bestFit="1" customWidth="1"/>
    <col min="1798" max="1798" width="15.375" bestFit="1" customWidth="1"/>
    <col min="1799" max="1799" width="7.5" bestFit="1" customWidth="1"/>
    <col min="1800" max="1800" width="16.875" bestFit="1" customWidth="1"/>
    <col min="2044" max="2044" width="2.875" customWidth="1"/>
    <col min="2045" max="2045" width="49" customWidth="1"/>
    <col min="2046" max="2046" width="16.875" bestFit="1" customWidth="1"/>
    <col min="2047" max="2047" width="13.625" bestFit="1" customWidth="1"/>
    <col min="2048" max="2048" width="15.375" bestFit="1" customWidth="1"/>
    <col min="2049" max="2049" width="7.5" bestFit="1" customWidth="1"/>
    <col min="2050" max="2050" width="15.25" customWidth="1"/>
    <col min="2051" max="2051" width="7.5" bestFit="1" customWidth="1"/>
    <col min="2052" max="2052" width="15.375" bestFit="1" customWidth="1"/>
    <col min="2053" max="2053" width="7.5" bestFit="1" customWidth="1"/>
    <col min="2054" max="2054" width="15.375" bestFit="1" customWidth="1"/>
    <col min="2055" max="2055" width="7.5" bestFit="1" customWidth="1"/>
    <col min="2056" max="2056" width="16.875" bestFit="1" customWidth="1"/>
    <col min="2300" max="2300" width="2.875" customWidth="1"/>
    <col min="2301" max="2301" width="49" customWidth="1"/>
    <col min="2302" max="2302" width="16.875" bestFit="1" customWidth="1"/>
    <col min="2303" max="2303" width="13.625" bestFit="1" customWidth="1"/>
    <col min="2304" max="2304" width="15.375" bestFit="1" customWidth="1"/>
    <col min="2305" max="2305" width="7.5" bestFit="1" customWidth="1"/>
    <col min="2306" max="2306" width="15.25" customWidth="1"/>
    <col min="2307" max="2307" width="7.5" bestFit="1" customWidth="1"/>
    <col min="2308" max="2308" width="15.375" bestFit="1" customWidth="1"/>
    <col min="2309" max="2309" width="7.5" bestFit="1" customWidth="1"/>
    <col min="2310" max="2310" width="15.375" bestFit="1" customWidth="1"/>
    <col min="2311" max="2311" width="7.5" bestFit="1" customWidth="1"/>
    <col min="2312" max="2312" width="16.875" bestFit="1" customWidth="1"/>
    <col min="2556" max="2556" width="2.875" customWidth="1"/>
    <col min="2557" max="2557" width="49" customWidth="1"/>
    <col min="2558" max="2558" width="16.875" bestFit="1" customWidth="1"/>
    <col min="2559" max="2559" width="13.625" bestFit="1" customWidth="1"/>
    <col min="2560" max="2560" width="15.375" bestFit="1" customWidth="1"/>
    <col min="2561" max="2561" width="7.5" bestFit="1" customWidth="1"/>
    <col min="2562" max="2562" width="15.25" customWidth="1"/>
    <col min="2563" max="2563" width="7.5" bestFit="1" customWidth="1"/>
    <col min="2564" max="2564" width="15.375" bestFit="1" customWidth="1"/>
    <col min="2565" max="2565" width="7.5" bestFit="1" customWidth="1"/>
    <col min="2566" max="2566" width="15.375" bestFit="1" customWidth="1"/>
    <col min="2567" max="2567" width="7.5" bestFit="1" customWidth="1"/>
    <col min="2568" max="2568" width="16.875" bestFit="1" customWidth="1"/>
    <col min="2812" max="2812" width="2.875" customWidth="1"/>
    <col min="2813" max="2813" width="49" customWidth="1"/>
    <col min="2814" max="2814" width="16.875" bestFit="1" customWidth="1"/>
    <col min="2815" max="2815" width="13.625" bestFit="1" customWidth="1"/>
    <col min="2816" max="2816" width="15.375" bestFit="1" customWidth="1"/>
    <col min="2817" max="2817" width="7.5" bestFit="1" customWidth="1"/>
    <col min="2818" max="2818" width="15.25" customWidth="1"/>
    <col min="2819" max="2819" width="7.5" bestFit="1" customWidth="1"/>
    <col min="2820" max="2820" width="15.375" bestFit="1" customWidth="1"/>
    <col min="2821" max="2821" width="7.5" bestFit="1" customWidth="1"/>
    <col min="2822" max="2822" width="15.375" bestFit="1" customWidth="1"/>
    <col min="2823" max="2823" width="7.5" bestFit="1" customWidth="1"/>
    <col min="2824" max="2824" width="16.875" bestFit="1" customWidth="1"/>
    <col min="3068" max="3068" width="2.875" customWidth="1"/>
    <col min="3069" max="3069" width="49" customWidth="1"/>
    <col min="3070" max="3070" width="16.875" bestFit="1" customWidth="1"/>
    <col min="3071" max="3071" width="13.625" bestFit="1" customWidth="1"/>
    <col min="3072" max="3072" width="15.375" bestFit="1" customWidth="1"/>
    <col min="3073" max="3073" width="7.5" bestFit="1" customWidth="1"/>
    <col min="3074" max="3074" width="15.25" customWidth="1"/>
    <col min="3075" max="3075" width="7.5" bestFit="1" customWidth="1"/>
    <col min="3076" max="3076" width="15.375" bestFit="1" customWidth="1"/>
    <col min="3077" max="3077" width="7.5" bestFit="1" customWidth="1"/>
    <col min="3078" max="3078" width="15.375" bestFit="1" customWidth="1"/>
    <col min="3079" max="3079" width="7.5" bestFit="1" customWidth="1"/>
    <col min="3080" max="3080" width="16.875" bestFit="1" customWidth="1"/>
    <col min="3324" max="3324" width="2.875" customWidth="1"/>
    <col min="3325" max="3325" width="49" customWidth="1"/>
    <col min="3326" max="3326" width="16.875" bestFit="1" customWidth="1"/>
    <col min="3327" max="3327" width="13.625" bestFit="1" customWidth="1"/>
    <col min="3328" max="3328" width="15.375" bestFit="1" customWidth="1"/>
    <col min="3329" max="3329" width="7.5" bestFit="1" customWidth="1"/>
    <col min="3330" max="3330" width="15.25" customWidth="1"/>
    <col min="3331" max="3331" width="7.5" bestFit="1" customWidth="1"/>
    <col min="3332" max="3332" width="15.375" bestFit="1" customWidth="1"/>
    <col min="3333" max="3333" width="7.5" bestFit="1" customWidth="1"/>
    <col min="3334" max="3334" width="15.375" bestFit="1" customWidth="1"/>
    <col min="3335" max="3335" width="7.5" bestFit="1" customWidth="1"/>
    <col min="3336" max="3336" width="16.875" bestFit="1" customWidth="1"/>
    <col min="3580" max="3580" width="2.875" customWidth="1"/>
    <col min="3581" max="3581" width="49" customWidth="1"/>
    <col min="3582" max="3582" width="16.875" bestFit="1" customWidth="1"/>
    <col min="3583" max="3583" width="13.625" bestFit="1" customWidth="1"/>
    <col min="3584" max="3584" width="15.375" bestFit="1" customWidth="1"/>
    <col min="3585" max="3585" width="7.5" bestFit="1" customWidth="1"/>
    <col min="3586" max="3586" width="15.25" customWidth="1"/>
    <col min="3587" max="3587" width="7.5" bestFit="1" customWidth="1"/>
    <col min="3588" max="3588" width="15.375" bestFit="1" customWidth="1"/>
    <col min="3589" max="3589" width="7.5" bestFit="1" customWidth="1"/>
    <col min="3590" max="3590" width="15.375" bestFit="1" customWidth="1"/>
    <col min="3591" max="3591" width="7.5" bestFit="1" customWidth="1"/>
    <col min="3592" max="3592" width="16.875" bestFit="1" customWidth="1"/>
    <col min="3836" max="3836" width="2.875" customWidth="1"/>
    <col min="3837" max="3837" width="49" customWidth="1"/>
    <col min="3838" max="3838" width="16.875" bestFit="1" customWidth="1"/>
    <col min="3839" max="3839" width="13.625" bestFit="1" customWidth="1"/>
    <col min="3840" max="3840" width="15.375" bestFit="1" customWidth="1"/>
    <col min="3841" max="3841" width="7.5" bestFit="1" customWidth="1"/>
    <col min="3842" max="3842" width="15.25" customWidth="1"/>
    <col min="3843" max="3843" width="7.5" bestFit="1" customWidth="1"/>
    <col min="3844" max="3844" width="15.375" bestFit="1" customWidth="1"/>
    <col min="3845" max="3845" width="7.5" bestFit="1" customWidth="1"/>
    <col min="3846" max="3846" width="15.375" bestFit="1" customWidth="1"/>
    <col min="3847" max="3847" width="7.5" bestFit="1" customWidth="1"/>
    <col min="3848" max="3848" width="16.875" bestFit="1" customWidth="1"/>
    <col min="4092" max="4092" width="2.875" customWidth="1"/>
    <col min="4093" max="4093" width="49" customWidth="1"/>
    <col min="4094" max="4094" width="16.875" bestFit="1" customWidth="1"/>
    <col min="4095" max="4095" width="13.625" bestFit="1" customWidth="1"/>
    <col min="4096" max="4096" width="15.375" bestFit="1" customWidth="1"/>
    <col min="4097" max="4097" width="7.5" bestFit="1" customWidth="1"/>
    <col min="4098" max="4098" width="15.25" customWidth="1"/>
    <col min="4099" max="4099" width="7.5" bestFit="1" customWidth="1"/>
    <col min="4100" max="4100" width="15.375" bestFit="1" customWidth="1"/>
    <col min="4101" max="4101" width="7.5" bestFit="1" customWidth="1"/>
    <col min="4102" max="4102" width="15.375" bestFit="1" customWidth="1"/>
    <col min="4103" max="4103" width="7.5" bestFit="1" customWidth="1"/>
    <col min="4104" max="4104" width="16.875" bestFit="1" customWidth="1"/>
    <col min="4348" max="4348" width="2.875" customWidth="1"/>
    <col min="4349" max="4349" width="49" customWidth="1"/>
    <col min="4350" max="4350" width="16.875" bestFit="1" customWidth="1"/>
    <col min="4351" max="4351" width="13.625" bestFit="1" customWidth="1"/>
    <col min="4352" max="4352" width="15.375" bestFit="1" customWidth="1"/>
    <col min="4353" max="4353" width="7.5" bestFit="1" customWidth="1"/>
    <col min="4354" max="4354" width="15.25" customWidth="1"/>
    <col min="4355" max="4355" width="7.5" bestFit="1" customWidth="1"/>
    <col min="4356" max="4356" width="15.375" bestFit="1" customWidth="1"/>
    <col min="4357" max="4357" width="7.5" bestFit="1" customWidth="1"/>
    <col min="4358" max="4358" width="15.375" bestFit="1" customWidth="1"/>
    <col min="4359" max="4359" width="7.5" bestFit="1" customWidth="1"/>
    <col min="4360" max="4360" width="16.875" bestFit="1" customWidth="1"/>
    <col min="4604" max="4604" width="2.875" customWidth="1"/>
    <col min="4605" max="4605" width="49" customWidth="1"/>
    <col min="4606" max="4606" width="16.875" bestFit="1" customWidth="1"/>
    <col min="4607" max="4607" width="13.625" bestFit="1" customWidth="1"/>
    <col min="4608" max="4608" width="15.375" bestFit="1" customWidth="1"/>
    <col min="4609" max="4609" width="7.5" bestFit="1" customWidth="1"/>
    <col min="4610" max="4610" width="15.25" customWidth="1"/>
    <col min="4611" max="4611" width="7.5" bestFit="1" customWidth="1"/>
    <col min="4612" max="4612" width="15.375" bestFit="1" customWidth="1"/>
    <col min="4613" max="4613" width="7.5" bestFit="1" customWidth="1"/>
    <col min="4614" max="4614" width="15.375" bestFit="1" customWidth="1"/>
    <col min="4615" max="4615" width="7.5" bestFit="1" customWidth="1"/>
    <col min="4616" max="4616" width="16.875" bestFit="1" customWidth="1"/>
    <col min="4860" max="4860" width="2.875" customWidth="1"/>
    <col min="4861" max="4861" width="49" customWidth="1"/>
    <col min="4862" max="4862" width="16.875" bestFit="1" customWidth="1"/>
    <col min="4863" max="4863" width="13.625" bestFit="1" customWidth="1"/>
    <col min="4864" max="4864" width="15.375" bestFit="1" customWidth="1"/>
    <col min="4865" max="4865" width="7.5" bestFit="1" customWidth="1"/>
    <col min="4866" max="4866" width="15.25" customWidth="1"/>
    <col min="4867" max="4867" width="7.5" bestFit="1" customWidth="1"/>
    <col min="4868" max="4868" width="15.375" bestFit="1" customWidth="1"/>
    <col min="4869" max="4869" width="7.5" bestFit="1" customWidth="1"/>
    <col min="4870" max="4870" width="15.375" bestFit="1" customWidth="1"/>
    <col min="4871" max="4871" width="7.5" bestFit="1" customWidth="1"/>
    <col min="4872" max="4872" width="16.875" bestFit="1" customWidth="1"/>
    <col min="5116" max="5116" width="2.875" customWidth="1"/>
    <col min="5117" max="5117" width="49" customWidth="1"/>
    <col min="5118" max="5118" width="16.875" bestFit="1" customWidth="1"/>
    <col min="5119" max="5119" width="13.625" bestFit="1" customWidth="1"/>
    <col min="5120" max="5120" width="15.375" bestFit="1" customWidth="1"/>
    <col min="5121" max="5121" width="7.5" bestFit="1" customWidth="1"/>
    <col min="5122" max="5122" width="15.25" customWidth="1"/>
    <col min="5123" max="5123" width="7.5" bestFit="1" customWidth="1"/>
    <col min="5124" max="5124" width="15.375" bestFit="1" customWidth="1"/>
    <col min="5125" max="5125" width="7.5" bestFit="1" customWidth="1"/>
    <col min="5126" max="5126" width="15.375" bestFit="1" customWidth="1"/>
    <col min="5127" max="5127" width="7.5" bestFit="1" customWidth="1"/>
    <col min="5128" max="5128" width="16.875" bestFit="1" customWidth="1"/>
    <col min="5372" max="5372" width="2.875" customWidth="1"/>
    <col min="5373" max="5373" width="49" customWidth="1"/>
    <col min="5374" max="5374" width="16.875" bestFit="1" customWidth="1"/>
    <col min="5375" max="5375" width="13.625" bestFit="1" customWidth="1"/>
    <col min="5376" max="5376" width="15.375" bestFit="1" customWidth="1"/>
    <col min="5377" max="5377" width="7.5" bestFit="1" customWidth="1"/>
    <col min="5378" max="5378" width="15.25" customWidth="1"/>
    <col min="5379" max="5379" width="7.5" bestFit="1" customWidth="1"/>
    <col min="5380" max="5380" width="15.375" bestFit="1" customWidth="1"/>
    <col min="5381" max="5381" width="7.5" bestFit="1" customWidth="1"/>
    <col min="5382" max="5382" width="15.375" bestFit="1" customWidth="1"/>
    <col min="5383" max="5383" width="7.5" bestFit="1" customWidth="1"/>
    <col min="5384" max="5384" width="16.875" bestFit="1" customWidth="1"/>
    <col min="5628" max="5628" width="2.875" customWidth="1"/>
    <col min="5629" max="5629" width="49" customWidth="1"/>
    <col min="5630" max="5630" width="16.875" bestFit="1" customWidth="1"/>
    <col min="5631" max="5631" width="13.625" bestFit="1" customWidth="1"/>
    <col min="5632" max="5632" width="15.375" bestFit="1" customWidth="1"/>
    <col min="5633" max="5633" width="7.5" bestFit="1" customWidth="1"/>
    <col min="5634" max="5634" width="15.25" customWidth="1"/>
    <col min="5635" max="5635" width="7.5" bestFit="1" customWidth="1"/>
    <col min="5636" max="5636" width="15.375" bestFit="1" customWidth="1"/>
    <col min="5637" max="5637" width="7.5" bestFit="1" customWidth="1"/>
    <col min="5638" max="5638" width="15.375" bestFit="1" customWidth="1"/>
    <col min="5639" max="5639" width="7.5" bestFit="1" customWidth="1"/>
    <col min="5640" max="5640" width="16.875" bestFit="1" customWidth="1"/>
    <col min="5884" max="5884" width="2.875" customWidth="1"/>
    <col min="5885" max="5885" width="49" customWidth="1"/>
    <col min="5886" max="5886" width="16.875" bestFit="1" customWidth="1"/>
    <col min="5887" max="5887" width="13.625" bestFit="1" customWidth="1"/>
    <col min="5888" max="5888" width="15.375" bestFit="1" customWidth="1"/>
    <col min="5889" max="5889" width="7.5" bestFit="1" customWidth="1"/>
    <col min="5890" max="5890" width="15.25" customWidth="1"/>
    <col min="5891" max="5891" width="7.5" bestFit="1" customWidth="1"/>
    <col min="5892" max="5892" width="15.375" bestFit="1" customWidth="1"/>
    <col min="5893" max="5893" width="7.5" bestFit="1" customWidth="1"/>
    <col min="5894" max="5894" width="15.375" bestFit="1" customWidth="1"/>
    <col min="5895" max="5895" width="7.5" bestFit="1" customWidth="1"/>
    <col min="5896" max="5896" width="16.875" bestFit="1" customWidth="1"/>
    <col min="6140" max="6140" width="2.875" customWidth="1"/>
    <col min="6141" max="6141" width="49" customWidth="1"/>
    <col min="6142" max="6142" width="16.875" bestFit="1" customWidth="1"/>
    <col min="6143" max="6143" width="13.625" bestFit="1" customWidth="1"/>
    <col min="6144" max="6144" width="15.375" bestFit="1" customWidth="1"/>
    <col min="6145" max="6145" width="7.5" bestFit="1" customWidth="1"/>
    <col min="6146" max="6146" width="15.25" customWidth="1"/>
    <col min="6147" max="6147" width="7.5" bestFit="1" customWidth="1"/>
    <col min="6148" max="6148" width="15.375" bestFit="1" customWidth="1"/>
    <col min="6149" max="6149" width="7.5" bestFit="1" customWidth="1"/>
    <col min="6150" max="6150" width="15.375" bestFit="1" customWidth="1"/>
    <col min="6151" max="6151" width="7.5" bestFit="1" customWidth="1"/>
    <col min="6152" max="6152" width="16.875" bestFit="1" customWidth="1"/>
    <col min="6396" max="6396" width="2.875" customWidth="1"/>
    <col min="6397" max="6397" width="49" customWidth="1"/>
    <col min="6398" max="6398" width="16.875" bestFit="1" customWidth="1"/>
    <col min="6399" max="6399" width="13.625" bestFit="1" customWidth="1"/>
    <col min="6400" max="6400" width="15.375" bestFit="1" customWidth="1"/>
    <col min="6401" max="6401" width="7.5" bestFit="1" customWidth="1"/>
    <col min="6402" max="6402" width="15.25" customWidth="1"/>
    <col min="6403" max="6403" width="7.5" bestFit="1" customWidth="1"/>
    <col min="6404" max="6404" width="15.375" bestFit="1" customWidth="1"/>
    <col min="6405" max="6405" width="7.5" bestFit="1" customWidth="1"/>
    <col min="6406" max="6406" width="15.375" bestFit="1" customWidth="1"/>
    <col min="6407" max="6407" width="7.5" bestFit="1" customWidth="1"/>
    <col min="6408" max="6408" width="16.875" bestFit="1" customWidth="1"/>
    <col min="6652" max="6652" width="2.875" customWidth="1"/>
    <col min="6653" max="6653" width="49" customWidth="1"/>
    <col min="6654" max="6654" width="16.875" bestFit="1" customWidth="1"/>
    <col min="6655" max="6655" width="13.625" bestFit="1" customWidth="1"/>
    <col min="6656" max="6656" width="15.375" bestFit="1" customWidth="1"/>
    <col min="6657" max="6657" width="7.5" bestFit="1" customWidth="1"/>
    <col min="6658" max="6658" width="15.25" customWidth="1"/>
    <col min="6659" max="6659" width="7.5" bestFit="1" customWidth="1"/>
    <col min="6660" max="6660" width="15.375" bestFit="1" customWidth="1"/>
    <col min="6661" max="6661" width="7.5" bestFit="1" customWidth="1"/>
    <col min="6662" max="6662" width="15.375" bestFit="1" customWidth="1"/>
    <col min="6663" max="6663" width="7.5" bestFit="1" customWidth="1"/>
    <col min="6664" max="6664" width="16.875" bestFit="1" customWidth="1"/>
    <col min="6908" max="6908" width="2.875" customWidth="1"/>
    <col min="6909" max="6909" width="49" customWidth="1"/>
    <col min="6910" max="6910" width="16.875" bestFit="1" customWidth="1"/>
    <col min="6911" max="6911" width="13.625" bestFit="1" customWidth="1"/>
    <col min="6912" max="6912" width="15.375" bestFit="1" customWidth="1"/>
    <col min="6913" max="6913" width="7.5" bestFit="1" customWidth="1"/>
    <col min="6914" max="6914" width="15.25" customWidth="1"/>
    <col min="6915" max="6915" width="7.5" bestFit="1" customWidth="1"/>
    <col min="6916" max="6916" width="15.375" bestFit="1" customWidth="1"/>
    <col min="6917" max="6917" width="7.5" bestFit="1" customWidth="1"/>
    <col min="6918" max="6918" width="15.375" bestFit="1" customWidth="1"/>
    <col min="6919" max="6919" width="7.5" bestFit="1" customWidth="1"/>
    <col min="6920" max="6920" width="16.875" bestFit="1" customWidth="1"/>
    <col min="7164" max="7164" width="2.875" customWidth="1"/>
    <col min="7165" max="7165" width="49" customWidth="1"/>
    <col min="7166" max="7166" width="16.875" bestFit="1" customWidth="1"/>
    <col min="7167" max="7167" width="13.625" bestFit="1" customWidth="1"/>
    <col min="7168" max="7168" width="15.375" bestFit="1" customWidth="1"/>
    <col min="7169" max="7169" width="7.5" bestFit="1" customWidth="1"/>
    <col min="7170" max="7170" width="15.25" customWidth="1"/>
    <col min="7171" max="7171" width="7.5" bestFit="1" customWidth="1"/>
    <col min="7172" max="7172" width="15.375" bestFit="1" customWidth="1"/>
    <col min="7173" max="7173" width="7.5" bestFit="1" customWidth="1"/>
    <col min="7174" max="7174" width="15.375" bestFit="1" customWidth="1"/>
    <col min="7175" max="7175" width="7.5" bestFit="1" customWidth="1"/>
    <col min="7176" max="7176" width="16.875" bestFit="1" customWidth="1"/>
    <col min="7420" max="7420" width="2.875" customWidth="1"/>
    <col min="7421" max="7421" width="49" customWidth="1"/>
    <col min="7422" max="7422" width="16.875" bestFit="1" customWidth="1"/>
    <col min="7423" max="7423" width="13.625" bestFit="1" customWidth="1"/>
    <col min="7424" max="7424" width="15.375" bestFit="1" customWidth="1"/>
    <col min="7425" max="7425" width="7.5" bestFit="1" customWidth="1"/>
    <col min="7426" max="7426" width="15.25" customWidth="1"/>
    <col min="7427" max="7427" width="7.5" bestFit="1" customWidth="1"/>
    <col min="7428" max="7428" width="15.375" bestFit="1" customWidth="1"/>
    <col min="7429" max="7429" width="7.5" bestFit="1" customWidth="1"/>
    <col min="7430" max="7430" width="15.375" bestFit="1" customWidth="1"/>
    <col min="7431" max="7431" width="7.5" bestFit="1" customWidth="1"/>
    <col min="7432" max="7432" width="16.875" bestFit="1" customWidth="1"/>
    <col min="7676" max="7676" width="2.875" customWidth="1"/>
    <col min="7677" max="7677" width="49" customWidth="1"/>
    <col min="7678" max="7678" width="16.875" bestFit="1" customWidth="1"/>
    <col min="7679" max="7679" width="13.625" bestFit="1" customWidth="1"/>
    <col min="7680" max="7680" width="15.375" bestFit="1" customWidth="1"/>
    <col min="7681" max="7681" width="7.5" bestFit="1" customWidth="1"/>
    <col min="7682" max="7682" width="15.25" customWidth="1"/>
    <col min="7683" max="7683" width="7.5" bestFit="1" customWidth="1"/>
    <col min="7684" max="7684" width="15.375" bestFit="1" customWidth="1"/>
    <col min="7685" max="7685" width="7.5" bestFit="1" customWidth="1"/>
    <col min="7686" max="7686" width="15.375" bestFit="1" customWidth="1"/>
    <col min="7687" max="7687" width="7.5" bestFit="1" customWidth="1"/>
    <col min="7688" max="7688" width="16.875" bestFit="1" customWidth="1"/>
    <col min="7932" max="7932" width="2.875" customWidth="1"/>
    <col min="7933" max="7933" width="49" customWidth="1"/>
    <col min="7934" max="7934" width="16.875" bestFit="1" customWidth="1"/>
    <col min="7935" max="7935" width="13.625" bestFit="1" customWidth="1"/>
    <col min="7936" max="7936" width="15.375" bestFit="1" customWidth="1"/>
    <col min="7937" max="7937" width="7.5" bestFit="1" customWidth="1"/>
    <col min="7938" max="7938" width="15.25" customWidth="1"/>
    <col min="7939" max="7939" width="7.5" bestFit="1" customWidth="1"/>
    <col min="7940" max="7940" width="15.375" bestFit="1" customWidth="1"/>
    <col min="7941" max="7941" width="7.5" bestFit="1" customWidth="1"/>
    <col min="7942" max="7942" width="15.375" bestFit="1" customWidth="1"/>
    <col min="7943" max="7943" width="7.5" bestFit="1" customWidth="1"/>
    <col min="7944" max="7944" width="16.875" bestFit="1" customWidth="1"/>
    <col min="8188" max="8188" width="2.875" customWidth="1"/>
    <col min="8189" max="8189" width="49" customWidth="1"/>
    <col min="8190" max="8190" width="16.875" bestFit="1" customWidth="1"/>
    <col min="8191" max="8191" width="13.625" bestFit="1" customWidth="1"/>
    <col min="8192" max="8192" width="15.375" bestFit="1" customWidth="1"/>
    <col min="8193" max="8193" width="7.5" bestFit="1" customWidth="1"/>
    <col min="8194" max="8194" width="15.25" customWidth="1"/>
    <col min="8195" max="8195" width="7.5" bestFit="1" customWidth="1"/>
    <col min="8196" max="8196" width="15.375" bestFit="1" customWidth="1"/>
    <col min="8197" max="8197" width="7.5" bestFit="1" customWidth="1"/>
    <col min="8198" max="8198" width="15.375" bestFit="1" customWidth="1"/>
    <col min="8199" max="8199" width="7.5" bestFit="1" customWidth="1"/>
    <col min="8200" max="8200" width="16.875" bestFit="1" customWidth="1"/>
    <col min="8444" max="8444" width="2.875" customWidth="1"/>
    <col min="8445" max="8445" width="49" customWidth="1"/>
    <col min="8446" max="8446" width="16.875" bestFit="1" customWidth="1"/>
    <col min="8447" max="8447" width="13.625" bestFit="1" customWidth="1"/>
    <col min="8448" max="8448" width="15.375" bestFit="1" customWidth="1"/>
    <col min="8449" max="8449" width="7.5" bestFit="1" customWidth="1"/>
    <col min="8450" max="8450" width="15.25" customWidth="1"/>
    <col min="8451" max="8451" width="7.5" bestFit="1" customWidth="1"/>
    <col min="8452" max="8452" width="15.375" bestFit="1" customWidth="1"/>
    <col min="8453" max="8453" width="7.5" bestFit="1" customWidth="1"/>
    <col min="8454" max="8454" width="15.375" bestFit="1" customWidth="1"/>
    <col min="8455" max="8455" width="7.5" bestFit="1" customWidth="1"/>
    <col min="8456" max="8456" width="16.875" bestFit="1" customWidth="1"/>
    <col min="8700" max="8700" width="2.875" customWidth="1"/>
    <col min="8701" max="8701" width="49" customWidth="1"/>
    <col min="8702" max="8702" width="16.875" bestFit="1" customWidth="1"/>
    <col min="8703" max="8703" width="13.625" bestFit="1" customWidth="1"/>
    <col min="8704" max="8704" width="15.375" bestFit="1" customWidth="1"/>
    <col min="8705" max="8705" width="7.5" bestFit="1" customWidth="1"/>
    <col min="8706" max="8706" width="15.25" customWidth="1"/>
    <col min="8707" max="8707" width="7.5" bestFit="1" customWidth="1"/>
    <col min="8708" max="8708" width="15.375" bestFit="1" customWidth="1"/>
    <col min="8709" max="8709" width="7.5" bestFit="1" customWidth="1"/>
    <col min="8710" max="8710" width="15.375" bestFit="1" customWidth="1"/>
    <col min="8711" max="8711" width="7.5" bestFit="1" customWidth="1"/>
    <col min="8712" max="8712" width="16.875" bestFit="1" customWidth="1"/>
    <col min="8956" max="8956" width="2.875" customWidth="1"/>
    <col min="8957" max="8957" width="49" customWidth="1"/>
    <col min="8958" max="8958" width="16.875" bestFit="1" customWidth="1"/>
    <col min="8959" max="8959" width="13.625" bestFit="1" customWidth="1"/>
    <col min="8960" max="8960" width="15.375" bestFit="1" customWidth="1"/>
    <col min="8961" max="8961" width="7.5" bestFit="1" customWidth="1"/>
    <col min="8962" max="8962" width="15.25" customWidth="1"/>
    <col min="8963" max="8963" width="7.5" bestFit="1" customWidth="1"/>
    <col min="8964" max="8964" width="15.375" bestFit="1" customWidth="1"/>
    <col min="8965" max="8965" width="7.5" bestFit="1" customWidth="1"/>
    <col min="8966" max="8966" width="15.375" bestFit="1" customWidth="1"/>
    <col min="8967" max="8967" width="7.5" bestFit="1" customWidth="1"/>
    <col min="8968" max="8968" width="16.875" bestFit="1" customWidth="1"/>
    <col min="9212" max="9212" width="2.875" customWidth="1"/>
    <col min="9213" max="9213" width="49" customWidth="1"/>
    <col min="9214" max="9214" width="16.875" bestFit="1" customWidth="1"/>
    <col min="9215" max="9215" width="13.625" bestFit="1" customWidth="1"/>
    <col min="9216" max="9216" width="15.375" bestFit="1" customWidth="1"/>
    <col min="9217" max="9217" width="7.5" bestFit="1" customWidth="1"/>
    <col min="9218" max="9218" width="15.25" customWidth="1"/>
    <col min="9219" max="9219" width="7.5" bestFit="1" customWidth="1"/>
    <col min="9220" max="9220" width="15.375" bestFit="1" customWidth="1"/>
    <col min="9221" max="9221" width="7.5" bestFit="1" customWidth="1"/>
    <col min="9222" max="9222" width="15.375" bestFit="1" customWidth="1"/>
    <col min="9223" max="9223" width="7.5" bestFit="1" customWidth="1"/>
    <col min="9224" max="9224" width="16.875" bestFit="1" customWidth="1"/>
    <col min="9468" max="9468" width="2.875" customWidth="1"/>
    <col min="9469" max="9469" width="49" customWidth="1"/>
    <col min="9470" max="9470" width="16.875" bestFit="1" customWidth="1"/>
    <col min="9471" max="9471" width="13.625" bestFit="1" customWidth="1"/>
    <col min="9472" max="9472" width="15.375" bestFit="1" customWidth="1"/>
    <col min="9473" max="9473" width="7.5" bestFit="1" customWidth="1"/>
    <col min="9474" max="9474" width="15.25" customWidth="1"/>
    <col min="9475" max="9475" width="7.5" bestFit="1" customWidth="1"/>
    <col min="9476" max="9476" width="15.375" bestFit="1" customWidth="1"/>
    <col min="9477" max="9477" width="7.5" bestFit="1" customWidth="1"/>
    <col min="9478" max="9478" width="15.375" bestFit="1" customWidth="1"/>
    <col min="9479" max="9479" width="7.5" bestFit="1" customWidth="1"/>
    <col min="9480" max="9480" width="16.875" bestFit="1" customWidth="1"/>
    <col min="9724" max="9724" width="2.875" customWidth="1"/>
    <col min="9725" max="9725" width="49" customWidth="1"/>
    <col min="9726" max="9726" width="16.875" bestFit="1" customWidth="1"/>
    <col min="9727" max="9727" width="13.625" bestFit="1" customWidth="1"/>
    <col min="9728" max="9728" width="15.375" bestFit="1" customWidth="1"/>
    <col min="9729" max="9729" width="7.5" bestFit="1" customWidth="1"/>
    <col min="9730" max="9730" width="15.25" customWidth="1"/>
    <col min="9731" max="9731" width="7.5" bestFit="1" customWidth="1"/>
    <col min="9732" max="9732" width="15.375" bestFit="1" customWidth="1"/>
    <col min="9733" max="9733" width="7.5" bestFit="1" customWidth="1"/>
    <col min="9734" max="9734" width="15.375" bestFit="1" customWidth="1"/>
    <col min="9735" max="9735" width="7.5" bestFit="1" customWidth="1"/>
    <col min="9736" max="9736" width="16.875" bestFit="1" customWidth="1"/>
    <col min="9980" max="9980" width="2.875" customWidth="1"/>
    <col min="9981" max="9981" width="49" customWidth="1"/>
    <col min="9982" max="9982" width="16.875" bestFit="1" customWidth="1"/>
    <col min="9983" max="9983" width="13.625" bestFit="1" customWidth="1"/>
    <col min="9984" max="9984" width="15.375" bestFit="1" customWidth="1"/>
    <col min="9985" max="9985" width="7.5" bestFit="1" customWidth="1"/>
    <col min="9986" max="9986" width="15.25" customWidth="1"/>
    <col min="9987" max="9987" width="7.5" bestFit="1" customWidth="1"/>
    <col min="9988" max="9988" width="15.375" bestFit="1" customWidth="1"/>
    <col min="9989" max="9989" width="7.5" bestFit="1" customWidth="1"/>
    <col min="9990" max="9990" width="15.375" bestFit="1" customWidth="1"/>
    <col min="9991" max="9991" width="7.5" bestFit="1" customWidth="1"/>
    <col min="9992" max="9992" width="16.875" bestFit="1" customWidth="1"/>
    <col min="10236" max="10236" width="2.875" customWidth="1"/>
    <col min="10237" max="10237" width="49" customWidth="1"/>
    <col min="10238" max="10238" width="16.875" bestFit="1" customWidth="1"/>
    <col min="10239" max="10239" width="13.625" bestFit="1" customWidth="1"/>
    <col min="10240" max="10240" width="15.375" bestFit="1" customWidth="1"/>
    <col min="10241" max="10241" width="7.5" bestFit="1" customWidth="1"/>
    <col min="10242" max="10242" width="15.25" customWidth="1"/>
    <col min="10243" max="10243" width="7.5" bestFit="1" customWidth="1"/>
    <col min="10244" max="10244" width="15.375" bestFit="1" customWidth="1"/>
    <col min="10245" max="10245" width="7.5" bestFit="1" customWidth="1"/>
    <col min="10246" max="10246" width="15.375" bestFit="1" customWidth="1"/>
    <col min="10247" max="10247" width="7.5" bestFit="1" customWidth="1"/>
    <col min="10248" max="10248" width="16.875" bestFit="1" customWidth="1"/>
    <col min="10492" max="10492" width="2.875" customWidth="1"/>
    <col min="10493" max="10493" width="49" customWidth="1"/>
    <col min="10494" max="10494" width="16.875" bestFit="1" customWidth="1"/>
    <col min="10495" max="10495" width="13.625" bestFit="1" customWidth="1"/>
    <col min="10496" max="10496" width="15.375" bestFit="1" customWidth="1"/>
    <col min="10497" max="10497" width="7.5" bestFit="1" customWidth="1"/>
    <col min="10498" max="10498" width="15.25" customWidth="1"/>
    <col min="10499" max="10499" width="7.5" bestFit="1" customWidth="1"/>
    <col min="10500" max="10500" width="15.375" bestFit="1" customWidth="1"/>
    <col min="10501" max="10501" width="7.5" bestFit="1" customWidth="1"/>
    <col min="10502" max="10502" width="15.375" bestFit="1" customWidth="1"/>
    <col min="10503" max="10503" width="7.5" bestFit="1" customWidth="1"/>
    <col min="10504" max="10504" width="16.875" bestFit="1" customWidth="1"/>
    <col min="10748" max="10748" width="2.875" customWidth="1"/>
    <col min="10749" max="10749" width="49" customWidth="1"/>
    <col min="10750" max="10750" width="16.875" bestFit="1" customWidth="1"/>
    <col min="10751" max="10751" width="13.625" bestFit="1" customWidth="1"/>
    <col min="10752" max="10752" width="15.375" bestFit="1" customWidth="1"/>
    <col min="10753" max="10753" width="7.5" bestFit="1" customWidth="1"/>
    <col min="10754" max="10754" width="15.25" customWidth="1"/>
    <col min="10755" max="10755" width="7.5" bestFit="1" customWidth="1"/>
    <col min="10756" max="10756" width="15.375" bestFit="1" customWidth="1"/>
    <col min="10757" max="10757" width="7.5" bestFit="1" customWidth="1"/>
    <col min="10758" max="10758" width="15.375" bestFit="1" customWidth="1"/>
    <col min="10759" max="10759" width="7.5" bestFit="1" customWidth="1"/>
    <col min="10760" max="10760" width="16.875" bestFit="1" customWidth="1"/>
    <col min="11004" max="11004" width="2.875" customWidth="1"/>
    <col min="11005" max="11005" width="49" customWidth="1"/>
    <col min="11006" max="11006" width="16.875" bestFit="1" customWidth="1"/>
    <col min="11007" max="11007" width="13.625" bestFit="1" customWidth="1"/>
    <col min="11008" max="11008" width="15.375" bestFit="1" customWidth="1"/>
    <col min="11009" max="11009" width="7.5" bestFit="1" customWidth="1"/>
    <col min="11010" max="11010" width="15.25" customWidth="1"/>
    <col min="11011" max="11011" width="7.5" bestFit="1" customWidth="1"/>
    <col min="11012" max="11012" width="15.375" bestFit="1" customWidth="1"/>
    <col min="11013" max="11013" width="7.5" bestFit="1" customWidth="1"/>
    <col min="11014" max="11014" width="15.375" bestFit="1" customWidth="1"/>
    <col min="11015" max="11015" width="7.5" bestFit="1" customWidth="1"/>
    <col min="11016" max="11016" width="16.875" bestFit="1" customWidth="1"/>
    <col min="11260" max="11260" width="2.875" customWidth="1"/>
    <col min="11261" max="11261" width="49" customWidth="1"/>
    <col min="11262" max="11262" width="16.875" bestFit="1" customWidth="1"/>
    <col min="11263" max="11263" width="13.625" bestFit="1" customWidth="1"/>
    <col min="11264" max="11264" width="15.375" bestFit="1" customWidth="1"/>
    <col min="11265" max="11265" width="7.5" bestFit="1" customWidth="1"/>
    <col min="11266" max="11266" width="15.25" customWidth="1"/>
    <col min="11267" max="11267" width="7.5" bestFit="1" customWidth="1"/>
    <col min="11268" max="11268" width="15.375" bestFit="1" customWidth="1"/>
    <col min="11269" max="11269" width="7.5" bestFit="1" customWidth="1"/>
    <col min="11270" max="11270" width="15.375" bestFit="1" customWidth="1"/>
    <col min="11271" max="11271" width="7.5" bestFit="1" customWidth="1"/>
    <col min="11272" max="11272" width="16.875" bestFit="1" customWidth="1"/>
    <col min="11516" max="11516" width="2.875" customWidth="1"/>
    <col min="11517" max="11517" width="49" customWidth="1"/>
    <col min="11518" max="11518" width="16.875" bestFit="1" customWidth="1"/>
    <col min="11519" max="11519" width="13.625" bestFit="1" customWidth="1"/>
    <col min="11520" max="11520" width="15.375" bestFit="1" customWidth="1"/>
    <col min="11521" max="11521" width="7.5" bestFit="1" customWidth="1"/>
    <col min="11522" max="11522" width="15.25" customWidth="1"/>
    <col min="11523" max="11523" width="7.5" bestFit="1" customWidth="1"/>
    <col min="11524" max="11524" width="15.375" bestFit="1" customWidth="1"/>
    <col min="11525" max="11525" width="7.5" bestFit="1" customWidth="1"/>
    <col min="11526" max="11526" width="15.375" bestFit="1" customWidth="1"/>
    <col min="11527" max="11527" width="7.5" bestFit="1" customWidth="1"/>
    <col min="11528" max="11528" width="16.875" bestFit="1" customWidth="1"/>
    <col min="11772" max="11772" width="2.875" customWidth="1"/>
    <col min="11773" max="11773" width="49" customWidth="1"/>
    <col min="11774" max="11774" width="16.875" bestFit="1" customWidth="1"/>
    <col min="11775" max="11775" width="13.625" bestFit="1" customWidth="1"/>
    <col min="11776" max="11776" width="15.375" bestFit="1" customWidth="1"/>
    <col min="11777" max="11777" width="7.5" bestFit="1" customWidth="1"/>
    <col min="11778" max="11778" width="15.25" customWidth="1"/>
    <col min="11779" max="11779" width="7.5" bestFit="1" customWidth="1"/>
    <col min="11780" max="11780" width="15.375" bestFit="1" customWidth="1"/>
    <col min="11781" max="11781" width="7.5" bestFit="1" customWidth="1"/>
    <col min="11782" max="11782" width="15.375" bestFit="1" customWidth="1"/>
    <col min="11783" max="11783" width="7.5" bestFit="1" customWidth="1"/>
    <col min="11784" max="11784" width="16.875" bestFit="1" customWidth="1"/>
    <col min="12028" max="12028" width="2.875" customWidth="1"/>
    <col min="12029" max="12029" width="49" customWidth="1"/>
    <col min="12030" max="12030" width="16.875" bestFit="1" customWidth="1"/>
    <col min="12031" max="12031" width="13.625" bestFit="1" customWidth="1"/>
    <col min="12032" max="12032" width="15.375" bestFit="1" customWidth="1"/>
    <col min="12033" max="12033" width="7.5" bestFit="1" customWidth="1"/>
    <col min="12034" max="12034" width="15.25" customWidth="1"/>
    <col min="12035" max="12035" width="7.5" bestFit="1" customWidth="1"/>
    <col min="12036" max="12036" width="15.375" bestFit="1" customWidth="1"/>
    <col min="12037" max="12037" width="7.5" bestFit="1" customWidth="1"/>
    <col min="12038" max="12038" width="15.375" bestFit="1" customWidth="1"/>
    <col min="12039" max="12039" width="7.5" bestFit="1" customWidth="1"/>
    <col min="12040" max="12040" width="16.875" bestFit="1" customWidth="1"/>
    <col min="12284" max="12284" width="2.875" customWidth="1"/>
    <col min="12285" max="12285" width="49" customWidth="1"/>
    <col min="12286" max="12286" width="16.875" bestFit="1" customWidth="1"/>
    <col min="12287" max="12287" width="13.625" bestFit="1" customWidth="1"/>
    <col min="12288" max="12288" width="15.375" bestFit="1" customWidth="1"/>
    <col min="12289" max="12289" width="7.5" bestFit="1" customWidth="1"/>
    <col min="12290" max="12290" width="15.25" customWidth="1"/>
    <col min="12291" max="12291" width="7.5" bestFit="1" customWidth="1"/>
    <col min="12292" max="12292" width="15.375" bestFit="1" customWidth="1"/>
    <col min="12293" max="12293" width="7.5" bestFit="1" customWidth="1"/>
    <col min="12294" max="12294" width="15.375" bestFit="1" customWidth="1"/>
    <col min="12295" max="12295" width="7.5" bestFit="1" customWidth="1"/>
    <col min="12296" max="12296" width="16.875" bestFit="1" customWidth="1"/>
    <col min="12540" max="12540" width="2.875" customWidth="1"/>
    <col min="12541" max="12541" width="49" customWidth="1"/>
    <col min="12542" max="12542" width="16.875" bestFit="1" customWidth="1"/>
    <col min="12543" max="12543" width="13.625" bestFit="1" customWidth="1"/>
    <col min="12544" max="12544" width="15.375" bestFit="1" customWidth="1"/>
    <col min="12545" max="12545" width="7.5" bestFit="1" customWidth="1"/>
    <col min="12546" max="12546" width="15.25" customWidth="1"/>
    <col min="12547" max="12547" width="7.5" bestFit="1" customWidth="1"/>
    <col min="12548" max="12548" width="15.375" bestFit="1" customWidth="1"/>
    <col min="12549" max="12549" width="7.5" bestFit="1" customWidth="1"/>
    <col min="12550" max="12550" width="15.375" bestFit="1" customWidth="1"/>
    <col min="12551" max="12551" width="7.5" bestFit="1" customWidth="1"/>
    <col min="12552" max="12552" width="16.875" bestFit="1" customWidth="1"/>
    <col min="12796" max="12796" width="2.875" customWidth="1"/>
    <col min="12797" max="12797" width="49" customWidth="1"/>
    <col min="12798" max="12798" width="16.875" bestFit="1" customWidth="1"/>
    <col min="12799" max="12799" width="13.625" bestFit="1" customWidth="1"/>
    <col min="12800" max="12800" width="15.375" bestFit="1" customWidth="1"/>
    <col min="12801" max="12801" width="7.5" bestFit="1" customWidth="1"/>
    <col min="12802" max="12802" width="15.25" customWidth="1"/>
    <col min="12803" max="12803" width="7.5" bestFit="1" customWidth="1"/>
    <col min="12804" max="12804" width="15.375" bestFit="1" customWidth="1"/>
    <col min="12805" max="12805" width="7.5" bestFit="1" customWidth="1"/>
    <col min="12806" max="12806" width="15.375" bestFit="1" customWidth="1"/>
    <col min="12807" max="12807" width="7.5" bestFit="1" customWidth="1"/>
    <col min="12808" max="12808" width="16.875" bestFit="1" customWidth="1"/>
    <col min="13052" max="13052" width="2.875" customWidth="1"/>
    <col min="13053" max="13053" width="49" customWidth="1"/>
    <col min="13054" max="13054" width="16.875" bestFit="1" customWidth="1"/>
    <col min="13055" max="13055" width="13.625" bestFit="1" customWidth="1"/>
    <col min="13056" max="13056" width="15.375" bestFit="1" customWidth="1"/>
    <col min="13057" max="13057" width="7.5" bestFit="1" customWidth="1"/>
    <col min="13058" max="13058" width="15.25" customWidth="1"/>
    <col min="13059" max="13059" width="7.5" bestFit="1" customWidth="1"/>
    <col min="13060" max="13060" width="15.375" bestFit="1" customWidth="1"/>
    <col min="13061" max="13061" width="7.5" bestFit="1" customWidth="1"/>
    <col min="13062" max="13062" width="15.375" bestFit="1" customWidth="1"/>
    <col min="13063" max="13063" width="7.5" bestFit="1" customWidth="1"/>
    <col min="13064" max="13064" width="16.875" bestFit="1" customWidth="1"/>
    <col min="13308" max="13308" width="2.875" customWidth="1"/>
    <col min="13309" max="13309" width="49" customWidth="1"/>
    <col min="13310" max="13310" width="16.875" bestFit="1" customWidth="1"/>
    <col min="13311" max="13311" width="13.625" bestFit="1" customWidth="1"/>
    <col min="13312" max="13312" width="15.375" bestFit="1" customWidth="1"/>
    <col min="13313" max="13313" width="7.5" bestFit="1" customWidth="1"/>
    <col min="13314" max="13314" width="15.25" customWidth="1"/>
    <col min="13315" max="13315" width="7.5" bestFit="1" customWidth="1"/>
    <col min="13316" max="13316" width="15.375" bestFit="1" customWidth="1"/>
    <col min="13317" max="13317" width="7.5" bestFit="1" customWidth="1"/>
    <col min="13318" max="13318" width="15.375" bestFit="1" customWidth="1"/>
    <col min="13319" max="13319" width="7.5" bestFit="1" customWidth="1"/>
    <col min="13320" max="13320" width="16.875" bestFit="1" customWidth="1"/>
    <col min="13564" max="13564" width="2.875" customWidth="1"/>
    <col min="13565" max="13565" width="49" customWidth="1"/>
    <col min="13566" max="13566" width="16.875" bestFit="1" customWidth="1"/>
    <col min="13567" max="13567" width="13.625" bestFit="1" customWidth="1"/>
    <col min="13568" max="13568" width="15.375" bestFit="1" customWidth="1"/>
    <col min="13569" max="13569" width="7.5" bestFit="1" customWidth="1"/>
    <col min="13570" max="13570" width="15.25" customWidth="1"/>
    <col min="13571" max="13571" width="7.5" bestFit="1" customWidth="1"/>
    <col min="13572" max="13572" width="15.375" bestFit="1" customWidth="1"/>
    <col min="13573" max="13573" width="7.5" bestFit="1" customWidth="1"/>
    <col min="13574" max="13574" width="15.375" bestFit="1" customWidth="1"/>
    <col min="13575" max="13575" width="7.5" bestFit="1" customWidth="1"/>
    <col min="13576" max="13576" width="16.875" bestFit="1" customWidth="1"/>
    <col min="13820" max="13820" width="2.875" customWidth="1"/>
    <col min="13821" max="13821" width="49" customWidth="1"/>
    <col min="13822" max="13822" width="16.875" bestFit="1" customWidth="1"/>
    <col min="13823" max="13823" width="13.625" bestFit="1" customWidth="1"/>
    <col min="13824" max="13824" width="15.375" bestFit="1" customWidth="1"/>
    <col min="13825" max="13825" width="7.5" bestFit="1" customWidth="1"/>
    <col min="13826" max="13826" width="15.25" customWidth="1"/>
    <col min="13827" max="13827" width="7.5" bestFit="1" customWidth="1"/>
    <col min="13828" max="13828" width="15.375" bestFit="1" customWidth="1"/>
    <col min="13829" max="13829" width="7.5" bestFit="1" customWidth="1"/>
    <col min="13830" max="13830" width="15.375" bestFit="1" customWidth="1"/>
    <col min="13831" max="13831" width="7.5" bestFit="1" customWidth="1"/>
    <col min="13832" max="13832" width="16.875" bestFit="1" customWidth="1"/>
    <col min="14076" max="14076" width="2.875" customWidth="1"/>
    <col min="14077" max="14077" width="49" customWidth="1"/>
    <col min="14078" max="14078" width="16.875" bestFit="1" customWidth="1"/>
    <col min="14079" max="14079" width="13.625" bestFit="1" customWidth="1"/>
    <col min="14080" max="14080" width="15.375" bestFit="1" customWidth="1"/>
    <col min="14081" max="14081" width="7.5" bestFit="1" customWidth="1"/>
    <col min="14082" max="14082" width="15.25" customWidth="1"/>
    <col min="14083" max="14083" width="7.5" bestFit="1" customWidth="1"/>
    <col min="14084" max="14084" width="15.375" bestFit="1" customWidth="1"/>
    <col min="14085" max="14085" width="7.5" bestFit="1" customWidth="1"/>
    <col min="14086" max="14086" width="15.375" bestFit="1" customWidth="1"/>
    <col min="14087" max="14087" width="7.5" bestFit="1" customWidth="1"/>
    <col min="14088" max="14088" width="16.875" bestFit="1" customWidth="1"/>
    <col min="14332" max="14332" width="2.875" customWidth="1"/>
    <col min="14333" max="14333" width="49" customWidth="1"/>
    <col min="14334" max="14334" width="16.875" bestFit="1" customWidth="1"/>
    <col min="14335" max="14335" width="13.625" bestFit="1" customWidth="1"/>
    <col min="14336" max="14336" width="15.375" bestFit="1" customWidth="1"/>
    <col min="14337" max="14337" width="7.5" bestFit="1" customWidth="1"/>
    <col min="14338" max="14338" width="15.25" customWidth="1"/>
    <col min="14339" max="14339" width="7.5" bestFit="1" customWidth="1"/>
    <col min="14340" max="14340" width="15.375" bestFit="1" customWidth="1"/>
    <col min="14341" max="14341" width="7.5" bestFit="1" customWidth="1"/>
    <col min="14342" max="14342" width="15.375" bestFit="1" customWidth="1"/>
    <col min="14343" max="14343" width="7.5" bestFit="1" customWidth="1"/>
    <col min="14344" max="14344" width="16.875" bestFit="1" customWidth="1"/>
    <col min="14588" max="14588" width="2.875" customWidth="1"/>
    <col min="14589" max="14589" width="49" customWidth="1"/>
    <col min="14590" max="14590" width="16.875" bestFit="1" customWidth="1"/>
    <col min="14591" max="14591" width="13.625" bestFit="1" customWidth="1"/>
    <col min="14592" max="14592" width="15.375" bestFit="1" customWidth="1"/>
    <col min="14593" max="14593" width="7.5" bestFit="1" customWidth="1"/>
    <col min="14594" max="14594" width="15.25" customWidth="1"/>
    <col min="14595" max="14595" width="7.5" bestFit="1" customWidth="1"/>
    <col min="14596" max="14596" width="15.375" bestFit="1" customWidth="1"/>
    <col min="14597" max="14597" width="7.5" bestFit="1" customWidth="1"/>
    <col min="14598" max="14598" width="15.375" bestFit="1" customWidth="1"/>
    <col min="14599" max="14599" width="7.5" bestFit="1" customWidth="1"/>
    <col min="14600" max="14600" width="16.875" bestFit="1" customWidth="1"/>
    <col min="14844" max="14844" width="2.875" customWidth="1"/>
    <col min="14845" max="14845" width="49" customWidth="1"/>
    <col min="14846" max="14846" width="16.875" bestFit="1" customWidth="1"/>
    <col min="14847" max="14847" width="13.625" bestFit="1" customWidth="1"/>
    <col min="14848" max="14848" width="15.375" bestFit="1" customWidth="1"/>
    <col min="14849" max="14849" width="7.5" bestFit="1" customWidth="1"/>
    <col min="14850" max="14850" width="15.25" customWidth="1"/>
    <col min="14851" max="14851" width="7.5" bestFit="1" customWidth="1"/>
    <col min="14852" max="14852" width="15.375" bestFit="1" customWidth="1"/>
    <col min="14853" max="14853" width="7.5" bestFit="1" customWidth="1"/>
    <col min="14854" max="14854" width="15.375" bestFit="1" customWidth="1"/>
    <col min="14855" max="14855" width="7.5" bestFit="1" customWidth="1"/>
    <col min="14856" max="14856" width="16.875" bestFit="1" customWidth="1"/>
    <col min="15100" max="15100" width="2.875" customWidth="1"/>
    <col min="15101" max="15101" width="49" customWidth="1"/>
    <col min="15102" max="15102" width="16.875" bestFit="1" customWidth="1"/>
    <col min="15103" max="15103" width="13.625" bestFit="1" customWidth="1"/>
    <col min="15104" max="15104" width="15.375" bestFit="1" customWidth="1"/>
    <col min="15105" max="15105" width="7.5" bestFit="1" customWidth="1"/>
    <col min="15106" max="15106" width="15.25" customWidth="1"/>
    <col min="15107" max="15107" width="7.5" bestFit="1" customWidth="1"/>
    <col min="15108" max="15108" width="15.375" bestFit="1" customWidth="1"/>
    <col min="15109" max="15109" width="7.5" bestFit="1" customWidth="1"/>
    <col min="15110" max="15110" width="15.375" bestFit="1" customWidth="1"/>
    <col min="15111" max="15111" width="7.5" bestFit="1" customWidth="1"/>
    <col min="15112" max="15112" width="16.875" bestFit="1" customWidth="1"/>
    <col min="15356" max="15356" width="2.875" customWidth="1"/>
    <col min="15357" max="15357" width="49" customWidth="1"/>
    <col min="15358" max="15358" width="16.875" bestFit="1" customWidth="1"/>
    <col min="15359" max="15359" width="13.625" bestFit="1" customWidth="1"/>
    <col min="15360" max="15360" width="15.375" bestFit="1" customWidth="1"/>
    <col min="15361" max="15361" width="7.5" bestFit="1" customWidth="1"/>
    <col min="15362" max="15362" width="15.25" customWidth="1"/>
    <col min="15363" max="15363" width="7.5" bestFit="1" customWidth="1"/>
    <col min="15364" max="15364" width="15.375" bestFit="1" customWidth="1"/>
    <col min="15365" max="15365" width="7.5" bestFit="1" customWidth="1"/>
    <col min="15366" max="15366" width="15.375" bestFit="1" customWidth="1"/>
    <col min="15367" max="15367" width="7.5" bestFit="1" customWidth="1"/>
    <col min="15368" max="15368" width="16.875" bestFit="1" customWidth="1"/>
    <col min="15612" max="15612" width="2.875" customWidth="1"/>
    <col min="15613" max="15613" width="49" customWidth="1"/>
    <col min="15614" max="15614" width="16.875" bestFit="1" customWidth="1"/>
    <col min="15615" max="15615" width="13.625" bestFit="1" customWidth="1"/>
    <col min="15616" max="15616" width="15.375" bestFit="1" customWidth="1"/>
    <col min="15617" max="15617" width="7.5" bestFit="1" customWidth="1"/>
    <col min="15618" max="15618" width="15.25" customWidth="1"/>
    <col min="15619" max="15619" width="7.5" bestFit="1" customWidth="1"/>
    <col min="15620" max="15620" width="15.375" bestFit="1" customWidth="1"/>
    <col min="15621" max="15621" width="7.5" bestFit="1" customWidth="1"/>
    <col min="15622" max="15622" width="15.375" bestFit="1" customWidth="1"/>
    <col min="15623" max="15623" width="7.5" bestFit="1" customWidth="1"/>
    <col min="15624" max="15624" width="16.875" bestFit="1" customWidth="1"/>
    <col min="15868" max="15868" width="2.875" customWidth="1"/>
    <col min="15869" max="15869" width="49" customWidth="1"/>
    <col min="15870" max="15870" width="16.875" bestFit="1" customWidth="1"/>
    <col min="15871" max="15871" width="13.625" bestFit="1" customWidth="1"/>
    <col min="15872" max="15872" width="15.375" bestFit="1" customWidth="1"/>
    <col min="15873" max="15873" width="7.5" bestFit="1" customWidth="1"/>
    <col min="15874" max="15874" width="15.25" customWidth="1"/>
    <col min="15875" max="15875" width="7.5" bestFit="1" customWidth="1"/>
    <col min="15876" max="15876" width="15.375" bestFit="1" customWidth="1"/>
    <col min="15877" max="15877" width="7.5" bestFit="1" customWidth="1"/>
    <col min="15878" max="15878" width="15.375" bestFit="1" customWidth="1"/>
    <col min="15879" max="15879" width="7.5" bestFit="1" customWidth="1"/>
    <col min="15880" max="15880" width="16.875" bestFit="1" customWidth="1"/>
    <col min="16124" max="16124" width="2.875" customWidth="1"/>
    <col min="16125" max="16125" width="49" customWidth="1"/>
    <col min="16126" max="16126" width="16.875" bestFit="1" customWidth="1"/>
    <col min="16127" max="16127" width="13.625" bestFit="1" customWidth="1"/>
    <col min="16128" max="16128" width="15.375" bestFit="1" customWidth="1"/>
    <col min="16129" max="16129" width="7.5" bestFit="1" customWidth="1"/>
    <col min="16130" max="16130" width="15.25" customWidth="1"/>
    <col min="16131" max="16131" width="7.5" bestFit="1" customWidth="1"/>
    <col min="16132" max="16132" width="15.375" bestFit="1" customWidth="1"/>
    <col min="16133" max="16133" width="7.5" bestFit="1" customWidth="1"/>
    <col min="16134" max="16134" width="15.375" bestFit="1" customWidth="1"/>
    <col min="16135" max="16135" width="7.5" bestFit="1" customWidth="1"/>
    <col min="16136" max="16136" width="16.875" bestFit="1" customWidth="1"/>
  </cols>
  <sheetData>
    <row r="1" spans="2:8" s="8" customFormat="1" ht="24.95" customHeight="1" x14ac:dyDescent="0.25">
      <c r="B1" s="6" t="s">
        <v>0</v>
      </c>
      <c r="C1" s="6"/>
      <c r="D1" s="7"/>
      <c r="E1" s="7"/>
      <c r="F1" s="18"/>
      <c r="G1" s="18"/>
      <c r="H1" s="418"/>
    </row>
    <row r="2" spans="2:8" s="8" customFormat="1" ht="24.95" customHeight="1" x14ac:dyDescent="0.25">
      <c r="B2" s="9" t="s">
        <v>658</v>
      </c>
      <c r="C2" s="9"/>
      <c r="D2" s="7"/>
      <c r="E2" s="7"/>
      <c r="F2" s="18"/>
      <c r="G2" s="18"/>
      <c r="H2" s="418"/>
    </row>
    <row r="3" spans="2:8" ht="24.95" customHeight="1" x14ac:dyDescent="0.25">
      <c r="F3" s="417"/>
      <c r="G3" s="59"/>
    </row>
    <row r="4" spans="2:8" s="3" customFormat="1" ht="24.95" customHeight="1" x14ac:dyDescent="0.25">
      <c r="B4" s="33"/>
      <c r="C4" s="33"/>
      <c r="D4" s="59" t="s">
        <v>610</v>
      </c>
      <c r="E4" s="59" t="s">
        <v>611</v>
      </c>
      <c r="F4" s="59" t="s">
        <v>594</v>
      </c>
      <c r="G4" s="59" t="s">
        <v>612</v>
      </c>
      <c r="H4" s="420" t="s">
        <v>384</v>
      </c>
    </row>
    <row r="5" spans="2:8" s="3" customFormat="1" ht="5.25" customHeight="1" x14ac:dyDescent="0.25">
      <c r="B5" s="33"/>
      <c r="C5" s="33"/>
      <c r="D5" s="59"/>
      <c r="E5" s="59"/>
      <c r="F5" s="59"/>
      <c r="G5" s="59"/>
      <c r="H5" s="420"/>
    </row>
    <row r="6" spans="2:8" s="3" customFormat="1" ht="24.95" hidden="1" customHeight="1" x14ac:dyDescent="0.25">
      <c r="B6" s="239" t="s">
        <v>170</v>
      </c>
      <c r="C6" s="240"/>
      <c r="D6" s="241"/>
      <c r="E6" s="249"/>
      <c r="F6" s="249"/>
      <c r="G6" s="249"/>
      <c r="H6" s="437"/>
    </row>
    <row r="7" spans="2:8" s="3" customFormat="1" ht="24.95" hidden="1" customHeight="1" x14ac:dyDescent="0.25">
      <c r="B7" s="242"/>
      <c r="C7" s="245" t="s">
        <v>203</v>
      </c>
      <c r="D7" s="305">
        <v>0</v>
      </c>
      <c r="E7" s="305"/>
      <c r="F7" s="305"/>
      <c r="G7" s="305"/>
      <c r="H7" s="438">
        <f>SUM(D7:G7)</f>
        <v>0</v>
      </c>
    </row>
    <row r="8" spans="2:8" s="3" customFormat="1" ht="24.95" hidden="1" customHeight="1" x14ac:dyDescent="0.25">
      <c r="B8" s="243"/>
      <c r="C8" s="246" t="s">
        <v>204</v>
      </c>
      <c r="D8" s="306"/>
      <c r="E8" s="306"/>
      <c r="F8" s="306"/>
      <c r="G8" s="306"/>
      <c r="H8" s="439">
        <f>SUM(D8:G8)</f>
        <v>0</v>
      </c>
    </row>
    <row r="9" spans="2:8" s="3" customFormat="1" ht="24.95" hidden="1" customHeight="1" thickBot="1" x14ac:dyDescent="0.3">
      <c r="B9" s="858" t="s">
        <v>171</v>
      </c>
      <c r="C9" s="859"/>
      <c r="D9" s="244">
        <f t="shared" ref="D9" si="0">SUM(D6:D8)</f>
        <v>0</v>
      </c>
      <c r="E9" s="244"/>
      <c r="F9" s="244"/>
      <c r="G9" s="244"/>
      <c r="H9" s="440">
        <f t="shared" ref="H9" si="1">SUM(H6:H8)</f>
        <v>0</v>
      </c>
    </row>
    <row r="10" spans="2:8" s="3" customFormat="1" ht="24.95" customHeight="1" thickBot="1" x14ac:dyDescent="0.25"/>
    <row r="11" spans="2:8" s="3" customFormat="1" ht="24.95" hidden="1" customHeight="1" x14ac:dyDescent="0.25">
      <c r="B11" s="515" t="s">
        <v>422</v>
      </c>
      <c r="C11" s="516"/>
      <c r="D11" s="517"/>
      <c r="E11" s="517"/>
      <c r="F11" s="519"/>
      <c r="G11" s="517"/>
      <c r="H11" s="518">
        <f>SUM(D11:G11)</f>
        <v>0</v>
      </c>
    </row>
    <row r="12" spans="2:8" s="3" customFormat="1" ht="24.95" hidden="1" customHeight="1" thickBot="1" x14ac:dyDescent="0.3">
      <c r="B12" s="591" t="s">
        <v>379</v>
      </c>
      <c r="C12" s="592"/>
      <c r="D12" s="593"/>
      <c r="E12" s="593"/>
      <c r="F12" s="593"/>
      <c r="G12" s="593"/>
      <c r="H12" s="594">
        <f>SUM(D12:G12)</f>
        <v>0</v>
      </c>
    </row>
    <row r="13" spans="2:8" s="3" customFormat="1" ht="24.95" customHeight="1" thickBot="1" x14ac:dyDescent="0.3">
      <c r="B13" s="688" t="s">
        <v>661</v>
      </c>
      <c r="C13" s="642"/>
      <c r="D13" s="643"/>
      <c r="E13" s="644">
        <v>1250</v>
      </c>
      <c r="F13" s="643"/>
      <c r="G13" s="643"/>
      <c r="H13" s="645">
        <f>SUM(D13:G13)</f>
        <v>1250</v>
      </c>
    </row>
    <row r="14" spans="2:8" s="3" customFormat="1" ht="24.95" customHeight="1" thickBot="1" x14ac:dyDescent="0.25"/>
    <row r="15" spans="2:8" s="3" customFormat="1" ht="24.95" customHeight="1" x14ac:dyDescent="0.25">
      <c r="B15" s="93" t="s">
        <v>261</v>
      </c>
      <c r="C15" s="278"/>
      <c r="D15" s="279"/>
      <c r="E15" s="280"/>
      <c r="F15" s="279"/>
      <c r="G15" s="280"/>
      <c r="H15" s="435"/>
    </row>
    <row r="16" spans="2:8" s="3" customFormat="1" ht="24.95" hidden="1" customHeight="1" x14ac:dyDescent="0.25">
      <c r="B16" s="255"/>
      <c r="C16" s="282" t="s">
        <v>503</v>
      </c>
      <c r="D16" s="304"/>
      <c r="E16" s="343"/>
      <c r="F16" s="304"/>
      <c r="G16" s="343"/>
      <c r="H16" s="436">
        <f>SUM(D16:G16)</f>
        <v>0</v>
      </c>
    </row>
    <row r="17" spans="2:8" s="3" customFormat="1" ht="24.95" hidden="1" customHeight="1" x14ac:dyDescent="0.25">
      <c r="B17" s="255"/>
      <c r="C17" s="282" t="s">
        <v>519</v>
      </c>
      <c r="D17" s="304"/>
      <c r="E17" s="343"/>
      <c r="F17" s="304"/>
      <c r="G17" s="343"/>
      <c r="H17" s="436">
        <f>ROUND(SUM(D17:G17),5)</f>
        <v>0</v>
      </c>
    </row>
    <row r="18" spans="2:8" s="3" customFormat="1" ht="24.95" customHeight="1" x14ac:dyDescent="0.25">
      <c r="B18" s="255"/>
      <c r="C18" s="282" t="s">
        <v>584</v>
      </c>
      <c r="D18" s="304">
        <v>12234.17</v>
      </c>
      <c r="E18" s="304">
        <v>13001.87</v>
      </c>
      <c r="F18" s="304">
        <v>14780.56</v>
      </c>
      <c r="G18" s="343"/>
      <c r="H18" s="436">
        <f>ROUND(SUM(D18:G18),5)</f>
        <v>40016.6</v>
      </c>
    </row>
    <row r="19" spans="2:8" s="3" customFormat="1" ht="24.95" customHeight="1" thickBot="1" x14ac:dyDescent="0.3">
      <c r="B19" s="145"/>
      <c r="C19" s="283" t="s">
        <v>423</v>
      </c>
      <c r="D19" s="602">
        <f>SUM(D15:D18)</f>
        <v>12234.17</v>
      </c>
      <c r="E19" s="602">
        <f>E18</f>
        <v>13001.87</v>
      </c>
      <c r="F19" s="602">
        <f>SUM(F15:F18)</f>
        <v>14780.56</v>
      </c>
      <c r="G19" s="603">
        <f>SUM(G15:G18)</f>
        <v>0</v>
      </c>
      <c r="H19" s="600">
        <f>SUM(H15:H18)</f>
        <v>40016.6</v>
      </c>
    </row>
    <row r="20" spans="2:8" s="3" customFormat="1" ht="24.95" customHeight="1" thickBot="1" x14ac:dyDescent="0.3">
      <c r="B20" s="33"/>
      <c r="C20" s="33"/>
      <c r="D20" s="59"/>
      <c r="E20" s="59"/>
      <c r="F20" s="59"/>
      <c r="G20" s="59"/>
      <c r="H20" s="420"/>
    </row>
    <row r="21" spans="2:8" s="3" customFormat="1" ht="24.95" customHeight="1" x14ac:dyDescent="0.25">
      <c r="B21" s="90" t="s">
        <v>613</v>
      </c>
      <c r="C21" s="646"/>
      <c r="D21" s="647">
        <v>3602.43</v>
      </c>
      <c r="E21" s="647">
        <v>1773.7</v>
      </c>
      <c r="F21" s="647"/>
      <c r="G21" s="647"/>
      <c r="H21" s="648">
        <f>SUM(D21:G21)</f>
        <v>5376.13</v>
      </c>
    </row>
    <row r="22" spans="2:8" s="3" customFormat="1" ht="24.95" customHeight="1" thickBot="1" x14ac:dyDescent="0.3">
      <c r="B22" s="628" t="s">
        <v>659</v>
      </c>
      <c r="C22" s="692"/>
      <c r="D22" s="138">
        <v>2473.4299999999998</v>
      </c>
      <c r="E22" s="138">
        <v>1376.31</v>
      </c>
      <c r="F22" s="138"/>
      <c r="G22" s="138"/>
      <c r="H22" s="684">
        <f>SUM(D22:G22)</f>
        <v>3849.74</v>
      </c>
    </row>
    <row r="23" spans="2:8" s="3" customFormat="1" ht="24.95" customHeight="1" thickBot="1" x14ac:dyDescent="0.3">
      <c r="B23" s="33"/>
      <c r="C23" s="33"/>
      <c r="D23" s="59"/>
      <c r="E23" s="59"/>
      <c r="F23" s="59"/>
      <c r="G23" s="59"/>
      <c r="H23" s="420"/>
    </row>
    <row r="24" spans="2:8" s="3" customFormat="1" ht="24.95" customHeight="1" thickBot="1" x14ac:dyDescent="0.3">
      <c r="B24" s="699" t="s">
        <v>660</v>
      </c>
      <c r="C24" s="689"/>
      <c r="D24" s="690">
        <v>1250</v>
      </c>
      <c r="E24" s="286"/>
      <c r="F24" s="286"/>
      <c r="G24" s="690"/>
      <c r="H24" s="691">
        <f>SUM(D24:G24)</f>
        <v>1250</v>
      </c>
    </row>
    <row r="25" spans="2:8" s="3" customFormat="1" ht="24.95" customHeight="1" thickBot="1" x14ac:dyDescent="0.3">
      <c r="B25" s="33"/>
      <c r="C25" s="33"/>
      <c r="D25" s="59"/>
      <c r="E25" s="59"/>
      <c r="F25" s="59"/>
      <c r="G25" s="59"/>
      <c r="H25" s="420"/>
    </row>
    <row r="26" spans="2:8" s="3" customFormat="1" ht="24.95" customHeight="1" x14ac:dyDescent="0.25">
      <c r="B26" s="660" t="s">
        <v>147</v>
      </c>
      <c r="C26" s="649"/>
      <c r="D26" s="650"/>
      <c r="E26" s="650"/>
      <c r="F26" s="651"/>
      <c r="G26" s="651"/>
      <c r="H26" s="652"/>
    </row>
    <row r="27" spans="2:8" s="3" customFormat="1" ht="24.95" customHeight="1" x14ac:dyDescent="0.25">
      <c r="B27" s="661"/>
      <c r="C27" s="653" t="s">
        <v>662</v>
      </c>
      <c r="D27" s="654">
        <v>21210.26</v>
      </c>
      <c r="E27" s="654">
        <v>23739.47</v>
      </c>
      <c r="F27" s="655">
        <v>26620.560000000001</v>
      </c>
      <c r="G27" s="655">
        <v>44115.12</v>
      </c>
      <c r="H27" s="656">
        <f>SUM(D27:G27)</f>
        <v>115685.41</v>
      </c>
    </row>
    <row r="28" spans="2:8" s="3" customFormat="1" ht="24.95" customHeight="1" thickBot="1" x14ac:dyDescent="0.3">
      <c r="B28" s="662"/>
      <c r="C28" s="657" t="s">
        <v>148</v>
      </c>
      <c r="D28" s="658">
        <f>SUM(D27:D27)</f>
        <v>21210.26</v>
      </c>
      <c r="E28" s="658">
        <f>SUM(E27:E27)</f>
        <v>23739.47</v>
      </c>
      <c r="F28" s="658">
        <f>SUM(F27:F27)</f>
        <v>26620.560000000001</v>
      </c>
      <c r="G28" s="658"/>
      <c r="H28" s="659">
        <f>SUM(H26:H27)</f>
        <v>115685.41</v>
      </c>
    </row>
    <row r="29" spans="2:8" s="3" customFormat="1" ht="24.95" customHeight="1" thickBot="1" x14ac:dyDescent="0.3">
      <c r="B29" s="33"/>
      <c r="C29" s="33"/>
      <c r="D29" s="59"/>
      <c r="E29" s="59"/>
      <c r="F29" s="59"/>
      <c r="G29" s="59"/>
      <c r="H29" s="420"/>
    </row>
    <row r="30" spans="2:8" s="3" customFormat="1" ht="24.95" customHeight="1" x14ac:dyDescent="0.25">
      <c r="B30" s="854" t="s">
        <v>62</v>
      </c>
      <c r="C30" s="855"/>
      <c r="D30" s="663"/>
      <c r="E30" s="663"/>
      <c r="F30" s="664"/>
      <c r="G30" s="664"/>
      <c r="H30" s="665"/>
    </row>
    <row r="31" spans="2:8" s="3" customFormat="1" ht="24.95" customHeight="1" x14ac:dyDescent="0.25">
      <c r="B31" s="255"/>
      <c r="C31" s="666" t="s">
        <v>572</v>
      </c>
      <c r="D31" s="343">
        <v>10584.18</v>
      </c>
      <c r="E31" s="343">
        <v>12087.09</v>
      </c>
      <c r="F31" s="304">
        <v>11624.58</v>
      </c>
      <c r="G31" s="304">
        <v>339.16</v>
      </c>
      <c r="H31" s="667">
        <f>ROUND(SUM(D31:G31),5)</f>
        <v>34635.01</v>
      </c>
    </row>
    <row r="32" spans="2:8" s="3" customFormat="1" ht="24.95" customHeight="1" thickBot="1" x14ac:dyDescent="0.3">
      <c r="B32" s="668"/>
      <c r="C32" s="283" t="s">
        <v>150</v>
      </c>
      <c r="D32" s="669">
        <f>SUM(D30:D31)</f>
        <v>10584.18</v>
      </c>
      <c r="E32" s="669">
        <f>SUM(E30:E31)</f>
        <v>12087.09</v>
      </c>
      <c r="F32" s="669">
        <f>SUM(F30:F31)</f>
        <v>11624.58</v>
      </c>
      <c r="G32" s="669">
        <f>SUM(G30:G31)</f>
        <v>339.16</v>
      </c>
      <c r="H32" s="670">
        <f>SUM(D32:G32)</f>
        <v>34635.01</v>
      </c>
    </row>
    <row r="33" spans="2:8" s="3" customFormat="1" ht="24.95" customHeight="1" thickBot="1" x14ac:dyDescent="0.25">
      <c r="B33" s="125"/>
      <c r="C33" s="125"/>
      <c r="D33" s="125"/>
      <c r="E33" s="125"/>
      <c r="F33" s="125"/>
      <c r="G33" s="125"/>
      <c r="H33" s="125"/>
    </row>
    <row r="34" spans="2:8" s="3" customFormat="1" ht="24.95" customHeight="1" x14ac:dyDescent="0.25">
      <c r="B34" s="671" t="s">
        <v>40</v>
      </c>
      <c r="C34" s="672"/>
      <c r="D34" s="673"/>
      <c r="E34" s="673"/>
      <c r="F34" s="674"/>
      <c r="G34" s="674"/>
      <c r="H34" s="675"/>
    </row>
    <row r="35" spans="2:8" s="3" customFormat="1" ht="24.95" customHeight="1" x14ac:dyDescent="0.25">
      <c r="B35" s="676"/>
      <c r="C35" s="677" t="s">
        <v>663</v>
      </c>
      <c r="D35" s="678"/>
      <c r="E35" s="118"/>
      <c r="F35" s="679"/>
      <c r="G35" s="119">
        <v>25000</v>
      </c>
      <c r="H35" s="429">
        <f t="shared" ref="H35:H40" si="2">ROUND(SUM(D35:G35),5)</f>
        <v>25000</v>
      </c>
    </row>
    <row r="36" spans="2:8" ht="24.95" customHeight="1" x14ac:dyDescent="0.25">
      <c r="B36" s="680"/>
      <c r="C36" s="677" t="s">
        <v>131</v>
      </c>
      <c r="D36" s="681">
        <f>4166.67-0.14</f>
        <v>4166.53</v>
      </c>
      <c r="E36" s="681">
        <v>4167</v>
      </c>
      <c r="F36" s="119"/>
      <c r="G36" s="119"/>
      <c r="H36" s="429">
        <f t="shared" si="2"/>
        <v>8333.5300000000007</v>
      </c>
    </row>
    <row r="37" spans="2:8" s="148" customFormat="1" ht="24.95" customHeight="1" x14ac:dyDescent="0.25">
      <c r="B37" s="680"/>
      <c r="C37" s="677" t="s">
        <v>314</v>
      </c>
      <c r="D37" s="681">
        <v>4500</v>
      </c>
      <c r="E37" s="681"/>
      <c r="F37" s="119"/>
      <c r="G37" s="119"/>
      <c r="H37" s="429">
        <f t="shared" si="2"/>
        <v>4500</v>
      </c>
    </row>
    <row r="38" spans="2:8" s="60" customFormat="1" ht="24.95" customHeight="1" x14ac:dyDescent="0.25">
      <c r="B38" s="680"/>
      <c r="C38" s="677" t="s">
        <v>504</v>
      </c>
      <c r="D38" s="118"/>
      <c r="E38" s="118"/>
      <c r="F38" s="119"/>
      <c r="G38" s="119"/>
      <c r="H38" s="429">
        <f t="shared" si="2"/>
        <v>0</v>
      </c>
    </row>
    <row r="39" spans="2:8" s="126" customFormat="1" ht="24.95" customHeight="1" x14ac:dyDescent="0.25">
      <c r="B39" s="680"/>
      <c r="C39" s="677" t="s">
        <v>664</v>
      </c>
      <c r="D39" s="118"/>
      <c r="E39" s="118"/>
      <c r="F39" s="119"/>
      <c r="G39" s="119">
        <v>90</v>
      </c>
      <c r="H39" s="429">
        <f t="shared" si="2"/>
        <v>90</v>
      </c>
    </row>
    <row r="40" spans="2:8" s="126" customFormat="1" ht="24.95" customHeight="1" x14ac:dyDescent="0.25">
      <c r="B40" s="680"/>
      <c r="C40" s="79" t="s">
        <v>41</v>
      </c>
      <c r="D40" s="118">
        <v>10500</v>
      </c>
      <c r="E40" s="118">
        <v>17157.98</v>
      </c>
      <c r="F40" s="119">
        <v>14720</v>
      </c>
      <c r="G40" s="119"/>
      <c r="H40" s="429">
        <f t="shared" si="2"/>
        <v>42377.98</v>
      </c>
    </row>
    <row r="41" spans="2:8" s="126" customFormat="1" ht="24.95" customHeight="1" thickBot="1" x14ac:dyDescent="0.3">
      <c r="B41" s="682"/>
      <c r="C41" s="683" t="s">
        <v>42</v>
      </c>
      <c r="D41" s="137">
        <f>SUM(D34:D40)</f>
        <v>19166.53</v>
      </c>
      <c r="E41" s="137">
        <f>SUM(E34:E40)</f>
        <v>21324.98</v>
      </c>
      <c r="F41" s="137">
        <f>SUM(F34:F40)</f>
        <v>14720</v>
      </c>
      <c r="G41" s="137">
        <f>SUM(G34:G40)</f>
        <v>25090</v>
      </c>
      <c r="H41" s="684">
        <f>SUM(H34:H40)</f>
        <v>80301.510000000009</v>
      </c>
    </row>
    <row r="42" spans="2:8" s="126" customFormat="1" ht="24.95" hidden="1" customHeight="1" x14ac:dyDescent="0.2">
      <c r="B42" s="125"/>
      <c r="C42" s="125"/>
      <c r="D42" s="125"/>
      <c r="E42" s="125"/>
      <c r="F42" s="125"/>
      <c r="G42" s="125"/>
      <c r="H42" s="125"/>
    </row>
    <row r="43" spans="2:8" s="126" customFormat="1" ht="24.95" hidden="1" customHeight="1" x14ac:dyDescent="0.2">
      <c r="B43" s="125"/>
      <c r="C43" s="125"/>
      <c r="D43" s="125"/>
      <c r="E43" s="125"/>
      <c r="F43" s="125"/>
      <c r="G43" s="125"/>
      <c r="H43" s="125"/>
    </row>
    <row r="44" spans="2:8" s="126" customFormat="1" ht="24.95" hidden="1" customHeight="1" x14ac:dyDescent="0.2">
      <c r="B44" s="125"/>
      <c r="C44" s="125"/>
      <c r="D44" s="125"/>
      <c r="E44" s="125"/>
      <c r="F44" s="125"/>
      <c r="G44" s="125"/>
      <c r="H44" s="125"/>
    </row>
    <row r="45" spans="2:8" s="126" customFormat="1" ht="24.95" hidden="1" customHeight="1" thickBot="1" x14ac:dyDescent="0.3">
      <c r="B45" s="61"/>
      <c r="C45" s="125"/>
      <c r="D45" s="125"/>
      <c r="E45" s="125"/>
      <c r="F45" s="125"/>
      <c r="G45" s="125"/>
      <c r="H45" s="125"/>
    </row>
    <row r="46" spans="2:8" s="126" customFormat="1" ht="24.95" hidden="1" customHeight="1" x14ac:dyDescent="0.25">
      <c r="B46" s="80" t="s">
        <v>63</v>
      </c>
      <c r="C46" s="81"/>
      <c r="D46" s="105"/>
      <c r="E46" s="105"/>
      <c r="F46" s="106"/>
      <c r="G46" s="106"/>
      <c r="H46" s="421"/>
    </row>
    <row r="47" spans="2:8" s="126" customFormat="1" ht="24.95" hidden="1" customHeight="1" x14ac:dyDescent="0.25">
      <c r="B47" s="82"/>
      <c r="C47" s="63" t="s">
        <v>541</v>
      </c>
      <c r="D47" s="107"/>
      <c r="E47" s="107"/>
      <c r="F47" s="107"/>
      <c r="G47" s="108"/>
      <c r="H47" s="422">
        <f>ROUND(SUM(D47:G47),5)</f>
        <v>0</v>
      </c>
    </row>
    <row r="48" spans="2:8" s="126" customFormat="1" ht="24.95" hidden="1" customHeight="1" thickBot="1" x14ac:dyDescent="0.3">
      <c r="B48" s="127"/>
      <c r="C48" s="128" t="s">
        <v>132</v>
      </c>
      <c r="D48" s="129"/>
      <c r="E48" s="129"/>
      <c r="F48" s="129"/>
      <c r="G48" s="478">
        <f>SUM(G45:G47)</f>
        <v>0</v>
      </c>
      <c r="H48" s="478">
        <f>ROUND(SUM(H46:H47),5)</f>
        <v>0</v>
      </c>
    </row>
    <row r="49" spans="2:8" s="126" customFormat="1" ht="24.95" hidden="1" customHeight="1" thickBot="1" x14ac:dyDescent="0.3">
      <c r="B49" s="61"/>
      <c r="C49" s="61"/>
      <c r="D49" s="109"/>
      <c r="E49" s="109"/>
      <c r="F49" s="109"/>
      <c r="G49" s="109"/>
      <c r="H49" s="423"/>
    </row>
    <row r="50" spans="2:8" s="126" customFormat="1" ht="24.95" hidden="1" customHeight="1" x14ac:dyDescent="0.25">
      <c r="B50" s="83" t="s">
        <v>64</v>
      </c>
      <c r="C50" s="84"/>
      <c r="D50" s="111"/>
      <c r="E50" s="111"/>
      <c r="F50" s="112"/>
      <c r="G50" s="112"/>
      <c r="H50" s="424"/>
    </row>
    <row r="51" spans="2:8" s="126" customFormat="1" ht="24.95" hidden="1" customHeight="1" x14ac:dyDescent="0.25">
      <c r="B51" s="85"/>
      <c r="C51" s="65" t="s">
        <v>191</v>
      </c>
      <c r="D51" s="113"/>
      <c r="E51" s="113"/>
      <c r="F51" s="114"/>
      <c r="G51" s="114"/>
      <c r="H51" s="425">
        <f t="shared" ref="H51:H54" si="3">ROUND(SUM(D51:G51),5)</f>
        <v>0</v>
      </c>
    </row>
    <row r="52" spans="2:8" s="3" customFormat="1" ht="24.95" hidden="1" customHeight="1" x14ac:dyDescent="0.25">
      <c r="B52" s="85"/>
      <c r="C52" s="65" t="s">
        <v>259</v>
      </c>
      <c r="D52" s="113"/>
      <c r="E52" s="113"/>
      <c r="F52" s="114"/>
      <c r="G52" s="114"/>
      <c r="H52" s="425">
        <f t="shared" si="3"/>
        <v>0</v>
      </c>
    </row>
    <row r="53" spans="2:8" s="62" customFormat="1" ht="24.95" hidden="1" customHeight="1" x14ac:dyDescent="0.25">
      <c r="B53" s="85"/>
      <c r="C53" s="65" t="s">
        <v>295</v>
      </c>
      <c r="D53" s="113"/>
      <c r="E53" s="113"/>
      <c r="F53" s="114"/>
      <c r="G53" s="114"/>
      <c r="H53" s="425"/>
    </row>
    <row r="54" spans="2:8" s="62" customFormat="1" ht="24.95" hidden="1" customHeight="1" x14ac:dyDescent="0.25">
      <c r="B54" s="85"/>
      <c r="C54" s="65" t="s">
        <v>260</v>
      </c>
      <c r="D54" s="113"/>
      <c r="E54" s="113"/>
      <c r="F54" s="114"/>
      <c r="G54" s="114"/>
      <c r="H54" s="425">
        <f t="shared" si="3"/>
        <v>0</v>
      </c>
    </row>
    <row r="55" spans="2:8" s="130" customFormat="1" ht="24.95" hidden="1" customHeight="1" x14ac:dyDescent="0.25">
      <c r="B55" s="85"/>
      <c r="C55" s="65" t="s">
        <v>296</v>
      </c>
      <c r="D55" s="113"/>
      <c r="E55" s="113"/>
      <c r="F55" s="114"/>
      <c r="G55" s="114"/>
      <c r="H55" s="425"/>
    </row>
    <row r="56" spans="2:8" s="3" customFormat="1" ht="24.95" hidden="1" customHeight="1" x14ac:dyDescent="0.25">
      <c r="B56" s="86"/>
      <c r="C56" s="78" t="s">
        <v>300</v>
      </c>
      <c r="D56" s="113"/>
      <c r="E56" s="113"/>
      <c r="F56" s="114"/>
      <c r="G56" s="114"/>
      <c r="H56" s="425"/>
    </row>
    <row r="57" spans="2:8" s="64" customFormat="1" ht="24.95" hidden="1" customHeight="1" thickBot="1" x14ac:dyDescent="0.3">
      <c r="B57" s="131"/>
      <c r="C57" s="132" t="s">
        <v>65</v>
      </c>
      <c r="D57" s="133"/>
      <c r="E57" s="133"/>
      <c r="F57" s="133"/>
      <c r="G57" s="133"/>
      <c r="H57" s="426"/>
    </row>
    <row r="58" spans="2:8" s="64" customFormat="1" ht="24.95" hidden="1" customHeight="1" thickBot="1" x14ac:dyDescent="0.3">
      <c r="B58" s="61"/>
      <c r="C58" s="67"/>
      <c r="D58" s="115"/>
      <c r="E58" s="115"/>
      <c r="F58" s="115"/>
      <c r="G58" s="115"/>
      <c r="H58" s="427"/>
    </row>
    <row r="59" spans="2:8" s="64" customFormat="1" ht="24.95" hidden="1" customHeight="1" x14ac:dyDescent="0.25">
      <c r="B59" s="87" t="s">
        <v>88</v>
      </c>
      <c r="C59" s="88"/>
      <c r="D59" s="116"/>
      <c r="E59" s="116"/>
      <c r="F59" s="117"/>
      <c r="G59" s="117"/>
      <c r="H59" s="428"/>
    </row>
    <row r="60" spans="2:8" s="64" customFormat="1" ht="24.95" hidden="1" customHeight="1" x14ac:dyDescent="0.25">
      <c r="B60" s="89"/>
      <c r="C60" s="79" t="s">
        <v>149</v>
      </c>
      <c r="D60" s="118"/>
      <c r="E60" s="118"/>
      <c r="F60" s="119"/>
      <c r="G60" s="119"/>
      <c r="H60" s="429"/>
    </row>
    <row r="61" spans="2:8" s="64" customFormat="1" ht="24.95" hidden="1" customHeight="1" thickBot="1" x14ac:dyDescent="0.3">
      <c r="B61" s="135"/>
      <c r="C61" s="136" t="s">
        <v>133</v>
      </c>
      <c r="D61" s="137"/>
      <c r="E61" s="138"/>
      <c r="F61" s="138"/>
      <c r="G61" s="138">
        <f>SUM(G59:G60)</f>
        <v>0</v>
      </c>
      <c r="H61" s="430">
        <f>ROUND(SUM(D61:G61),5)</f>
        <v>0</v>
      </c>
    </row>
    <row r="62" spans="2:8" s="64" customFormat="1" ht="24.95" hidden="1" customHeight="1" x14ac:dyDescent="0.25">
      <c r="B62" s="61"/>
      <c r="C62" s="61"/>
      <c r="D62" s="109"/>
      <c r="E62" s="109"/>
      <c r="F62" s="109"/>
      <c r="G62" s="109"/>
      <c r="H62" s="423"/>
    </row>
    <row r="63" spans="2:8" s="66" customFormat="1" ht="24.95" hidden="1" customHeight="1" x14ac:dyDescent="0.2">
      <c r="B63" s="69"/>
      <c r="C63" s="69"/>
      <c r="D63" s="69"/>
      <c r="E63" s="69"/>
      <c r="F63" s="69"/>
      <c r="G63" s="69"/>
      <c r="H63" s="69"/>
    </row>
    <row r="64" spans="2:8" s="134" customFormat="1" ht="24.95" hidden="1" customHeight="1" x14ac:dyDescent="0.2">
      <c r="B64" s="69"/>
      <c r="C64" s="69"/>
      <c r="D64" s="69"/>
      <c r="E64" s="69"/>
      <c r="F64" s="69"/>
      <c r="G64" s="69"/>
      <c r="H64" s="69"/>
    </row>
    <row r="65" spans="2:8" s="3" customFormat="1" ht="24.95" hidden="1" customHeight="1" x14ac:dyDescent="0.2">
      <c r="B65" s="143"/>
      <c r="C65" s="143"/>
      <c r="D65" s="143"/>
      <c r="E65" s="143"/>
      <c r="F65" s="143"/>
      <c r="G65" s="143"/>
      <c r="H65" s="143"/>
    </row>
    <row r="66" spans="2:8" s="68" customFormat="1" ht="24.95" hidden="1" customHeight="1" thickBot="1" x14ac:dyDescent="0.3">
      <c r="B66" s="70"/>
      <c r="C66" s="70"/>
      <c r="D66" s="115"/>
      <c r="E66" s="115"/>
      <c r="F66" s="115"/>
      <c r="G66" s="115"/>
      <c r="H66" s="427"/>
    </row>
    <row r="67" spans="2:8" s="68" customFormat="1" ht="24.95" hidden="1" customHeight="1" x14ac:dyDescent="0.25">
      <c r="B67" s="90" t="s">
        <v>35</v>
      </c>
      <c r="C67" s="91"/>
      <c r="D67" s="122"/>
      <c r="E67" s="122"/>
      <c r="F67" s="123"/>
      <c r="G67" s="123"/>
      <c r="H67" s="433"/>
    </row>
    <row r="68" spans="2:8" s="139" customFormat="1" ht="24.95" hidden="1" customHeight="1" x14ac:dyDescent="0.25">
      <c r="B68" s="92"/>
      <c r="C68" s="72" t="s">
        <v>36</v>
      </c>
      <c r="D68" s="120"/>
      <c r="E68" s="120"/>
      <c r="F68" s="121"/>
      <c r="G68" s="121"/>
      <c r="H68" s="431"/>
    </row>
    <row r="69" spans="2:8" s="3" customFormat="1" ht="24.95" hidden="1" customHeight="1" thickBot="1" x14ac:dyDescent="0.3">
      <c r="B69" s="144"/>
      <c r="C69" s="140" t="s">
        <v>66</v>
      </c>
      <c r="D69" s="141"/>
      <c r="E69" s="141"/>
      <c r="F69" s="141"/>
      <c r="G69" s="141"/>
      <c r="H69" s="432"/>
    </row>
    <row r="70" spans="2:8" s="73" customFormat="1" ht="24.95" hidden="1" customHeight="1" thickBot="1" x14ac:dyDescent="0.3">
      <c r="B70" s="70"/>
      <c r="C70" s="70"/>
      <c r="D70" s="115"/>
      <c r="E70" s="115"/>
      <c r="F70" s="115"/>
      <c r="G70" s="115"/>
      <c r="H70" s="427"/>
    </row>
    <row r="71" spans="2:8" s="146" customFormat="1" ht="24.95" hidden="1" customHeight="1" thickBot="1" x14ac:dyDescent="0.3">
      <c r="B71" s="312" t="s">
        <v>574</v>
      </c>
      <c r="C71" s="309"/>
      <c r="D71" s="310"/>
      <c r="E71" s="311"/>
      <c r="F71" s="311"/>
      <c r="G71" s="311"/>
      <c r="H71" s="441">
        <f>SUM(D71:G71)</f>
        <v>0</v>
      </c>
    </row>
    <row r="72" spans="2:8" ht="24.95" hidden="1" customHeight="1" x14ac:dyDescent="0.25">
      <c r="B72" s="70"/>
      <c r="C72" s="70"/>
      <c r="D72" s="115"/>
      <c r="E72" s="115"/>
      <c r="F72" s="115"/>
      <c r="G72" s="115"/>
      <c r="H72" s="427"/>
    </row>
    <row r="73" spans="2:8" ht="24.95" hidden="1" customHeight="1" x14ac:dyDescent="0.25">
      <c r="B73" s="70"/>
      <c r="C73" s="70"/>
      <c r="D73" s="115"/>
      <c r="E73" s="115"/>
      <c r="F73" s="115"/>
      <c r="G73" s="115"/>
      <c r="H73" s="427"/>
    </row>
    <row r="74" spans="2:8" ht="24.95" hidden="1" customHeight="1" x14ac:dyDescent="0.25"/>
    <row r="75" spans="2:8" s="75" customFormat="1" ht="24.95" hidden="1" customHeight="1" x14ac:dyDescent="0.2"/>
    <row r="76" spans="2:8" s="75" customFormat="1" ht="24.95" hidden="1" customHeight="1" thickBot="1" x14ac:dyDescent="0.3">
      <c r="B76"/>
      <c r="C76"/>
      <c r="D76" s="284"/>
      <c r="E76" s="115"/>
      <c r="F76" s="115"/>
      <c r="G76" s="115"/>
      <c r="H76" s="427"/>
    </row>
    <row r="77" spans="2:8" s="75" customFormat="1" ht="24.95" hidden="1" customHeight="1" thickBot="1" x14ac:dyDescent="0.3">
      <c r="B77" s="308" t="s">
        <v>421</v>
      </c>
      <c r="C77" s="307"/>
      <c r="D77" s="285"/>
      <c r="E77" s="286"/>
      <c r="F77" s="286"/>
      <c r="G77" s="286"/>
      <c r="H77" s="442">
        <f>SUM(D77:G77)</f>
        <v>0</v>
      </c>
    </row>
    <row r="78" spans="2:8" s="75" customFormat="1" ht="24.95" hidden="1" customHeight="1" x14ac:dyDescent="0.25">
      <c r="B78" s="604" t="s">
        <v>586</v>
      </c>
      <c r="C78" s="605"/>
      <c r="D78" s="625"/>
      <c r="E78" s="606"/>
      <c r="F78" s="606"/>
      <c r="G78" s="617"/>
      <c r="H78" s="623">
        <f>SUM(D78:G78)</f>
        <v>0</v>
      </c>
    </row>
    <row r="79" spans="2:8" ht="24.95" hidden="1" customHeight="1" x14ac:dyDescent="0.25"/>
    <row r="80" spans="2:8" s="75" customFormat="1" ht="24.95" hidden="1" customHeight="1" x14ac:dyDescent="0.25">
      <c r="B80" s="856" t="s">
        <v>325</v>
      </c>
      <c r="C80" s="857"/>
      <c r="D80" s="621"/>
      <c r="E80" s="621"/>
      <c r="F80" s="621"/>
      <c r="G80" s="622"/>
      <c r="H80" s="624">
        <f>SUM(D80:G80)</f>
        <v>0</v>
      </c>
    </row>
    <row r="81" spans="2:8" ht="24.95" hidden="1" customHeight="1" thickBot="1" x14ac:dyDescent="0.3">
      <c r="B81" s="607" t="s">
        <v>573</v>
      </c>
      <c r="C81" s="608"/>
      <c r="D81" s="609"/>
      <c r="E81" s="610"/>
      <c r="F81" s="610"/>
      <c r="G81" s="618"/>
      <c r="H81" s="611">
        <f>SUM(D81:G81)</f>
        <v>0</v>
      </c>
    </row>
    <row r="82" spans="2:8" s="75" customFormat="1" ht="24.95" hidden="1" customHeight="1" thickBot="1" x14ac:dyDescent="0.3">
      <c r="B82" s="443"/>
      <c r="C82" s="443"/>
      <c r="D82" s="284"/>
      <c r="E82" s="115"/>
      <c r="F82" s="115"/>
      <c r="G82" s="619"/>
      <c r="H82" s="427"/>
    </row>
    <row r="83" spans="2:8" s="75" customFormat="1" ht="24.95" hidden="1" customHeight="1" thickBot="1" x14ac:dyDescent="0.3">
      <c r="B83" s="612" t="s">
        <v>587</v>
      </c>
      <c r="C83" s="613"/>
      <c r="D83" s="614"/>
      <c r="E83" s="615"/>
      <c r="F83" s="615"/>
      <c r="G83" s="620"/>
      <c r="H83" s="616">
        <f>SUM(D83:G83)</f>
        <v>0</v>
      </c>
    </row>
    <row r="84" spans="2:8" s="75" customFormat="1" ht="24.95" hidden="1" customHeight="1" x14ac:dyDescent="0.25">
      <c r="B84" s="443"/>
      <c r="C84" s="443"/>
      <c r="D84" s="284"/>
      <c r="E84" s="115"/>
      <c r="F84" s="115"/>
      <c r="G84" s="115"/>
      <c r="H84" s="427"/>
    </row>
    <row r="85" spans="2:8" s="75" customFormat="1" ht="24.95" hidden="1" customHeight="1" x14ac:dyDescent="0.2"/>
    <row r="86" spans="2:8" s="75" customFormat="1" ht="24.95" hidden="1" customHeight="1" x14ac:dyDescent="0.2"/>
    <row r="87" spans="2:8" s="75" customFormat="1" ht="24.95" hidden="1" customHeight="1" x14ac:dyDescent="0.2"/>
    <row r="88" spans="2:8" s="75" customFormat="1" ht="24.95" customHeight="1" thickBot="1" x14ac:dyDescent="0.3">
      <c r="B88" s="74"/>
      <c r="C88" s="74"/>
      <c r="D88" s="110"/>
      <c r="E88" s="110"/>
      <c r="F88" s="110"/>
      <c r="G88" s="110"/>
      <c r="H88" s="434"/>
    </row>
    <row r="89" spans="2:8" s="75" customFormat="1" ht="24.95" customHeight="1" thickBot="1" x14ac:dyDescent="0.3">
      <c r="B89" s="685"/>
      <c r="C89" s="686" t="s">
        <v>665</v>
      </c>
      <c r="D89" s="687">
        <f>SUM(D32+D48+D57+D61+D28+D41+D9)+D69+D19+D22+D77+D71+D83+D81+D13+D78+D80+D24</f>
        <v>66918.569999999992</v>
      </c>
      <c r="E89" s="687">
        <f>SUM(E32+E48+E57+E61+F28+E41+E9)+E69+E19+E22+E77+E71+E83+E81+E13+E78+E80+E24</f>
        <v>75660.81</v>
      </c>
      <c r="F89" s="687">
        <f>SUM(F32+F48+F57+F61+F28+F41+F9)+F69+F19+F22+F77+F71+F83+F81+F13+F78+F80+F24</f>
        <v>67745.7</v>
      </c>
      <c r="G89" s="687">
        <f>SUM(G32+G48+G57+G61+G28+G41+G9)+G69+G19+G22+G77+G71+G83+G81+G13+G78+G80+G24</f>
        <v>25429.16</v>
      </c>
      <c r="H89" s="687">
        <f>SUM(H32+H48+H57+H61+H28+H41+H9)+H69+H19+H22+H77+H71+H83+H81+H13+H78+H80+H24+H21</f>
        <v>282364.40000000002</v>
      </c>
    </row>
    <row r="90" spans="2:8" s="75" customFormat="1" ht="24.95" customHeight="1" x14ac:dyDescent="0.25">
      <c r="B90" s="454"/>
      <c r="C90" s="455"/>
      <c r="D90" s="456"/>
      <c r="E90" s="456"/>
      <c r="F90" s="456"/>
      <c r="G90" s="456"/>
      <c r="H90" s="457"/>
    </row>
    <row r="91" spans="2:8" ht="24.95" customHeight="1" x14ac:dyDescent="0.25">
      <c r="B91" s="76"/>
      <c r="C91" s="452" t="s">
        <v>343</v>
      </c>
      <c r="D91" s="453">
        <f>D89/H$89</f>
        <v>0.23699365075767337</v>
      </c>
      <c r="E91" s="453">
        <f>E89/$H89</f>
        <v>0.26795449426344109</v>
      </c>
      <c r="F91" s="453">
        <f t="shared" ref="F91:H91" si="4">F89/$H89</f>
        <v>0.23992295062692037</v>
      </c>
      <c r="G91" s="453">
        <f t="shared" si="4"/>
        <v>9.005795348138787E-2</v>
      </c>
      <c r="H91" s="453">
        <f t="shared" si="4"/>
        <v>1</v>
      </c>
    </row>
    <row r="92" spans="2:8" ht="24.95" customHeight="1" x14ac:dyDescent="0.25">
      <c r="B92" s="76"/>
      <c r="C92" s="76"/>
      <c r="D92" s="124"/>
      <c r="E92" s="124"/>
      <c r="F92" s="124"/>
      <c r="G92" s="124"/>
    </row>
    <row r="93" spans="2:8" ht="24.95" customHeight="1" x14ac:dyDescent="0.25">
      <c r="C93" s="215" t="s">
        <v>614</v>
      </c>
      <c r="D93" s="124"/>
      <c r="E93" s="124"/>
      <c r="F93" s="124"/>
      <c r="G93" s="124"/>
    </row>
    <row r="94" spans="2:8" s="125" customFormat="1" ht="20.100000000000001" customHeight="1" x14ac:dyDescent="0.25">
      <c r="B94" s="34"/>
      <c r="C94" s="366" t="s">
        <v>644</v>
      </c>
      <c r="D94" s="368">
        <v>21555.05</v>
      </c>
      <c r="E94" s="124"/>
      <c r="F94" s="124"/>
      <c r="G94" s="124"/>
      <c r="H94" s="419"/>
    </row>
    <row r="95" spans="2:8" ht="20.100000000000001" customHeight="1" x14ac:dyDescent="0.25">
      <c r="C95" s="366" t="s">
        <v>643</v>
      </c>
      <c r="D95" s="368">
        <f>H21</f>
        <v>5376.13</v>
      </c>
      <c r="E95" s="124"/>
      <c r="F95" s="124"/>
      <c r="G95" s="124"/>
    </row>
    <row r="96" spans="2:8" ht="20.100000000000001" customHeight="1" x14ac:dyDescent="0.25">
      <c r="C96" s="366" t="s">
        <v>659</v>
      </c>
      <c r="D96" s="368">
        <f>H22</f>
        <v>3849.74</v>
      </c>
      <c r="E96" s="124"/>
      <c r="F96" s="124"/>
      <c r="G96" s="124"/>
    </row>
    <row r="97" spans="3:7" ht="20.100000000000001" customHeight="1" x14ac:dyDescent="0.25">
      <c r="C97" s="366" t="s">
        <v>642</v>
      </c>
      <c r="D97" s="368">
        <v>13002</v>
      </c>
      <c r="E97" s="124"/>
      <c r="F97" s="124"/>
      <c r="G97" s="124"/>
    </row>
    <row r="98" spans="3:7" ht="20.100000000000001" customHeight="1" x14ac:dyDescent="0.25">
      <c r="C98" s="104" t="s">
        <v>648</v>
      </c>
      <c r="D98" s="247">
        <f>SUM(D94:D97)</f>
        <v>43782.92</v>
      </c>
      <c r="E98" s="124"/>
      <c r="F98" s="124"/>
      <c r="G98" s="124"/>
    </row>
    <row r="99" spans="3:7" ht="20.100000000000001" customHeight="1" x14ac:dyDescent="0.25">
      <c r="D99" s="124"/>
      <c r="E99" s="124"/>
      <c r="F99" s="124"/>
      <c r="G99" s="124"/>
    </row>
    <row r="100" spans="3:7" ht="20.100000000000001" customHeight="1" thickBot="1" x14ac:dyDescent="0.3">
      <c r="C100" s="104" t="s">
        <v>666</v>
      </c>
      <c r="D100" s="264">
        <f>H89-D98</f>
        <v>238581.48000000004</v>
      </c>
      <c r="E100" s="124"/>
      <c r="F100" s="124"/>
      <c r="G100" s="124"/>
    </row>
    <row r="101" spans="3:7" ht="20.100000000000001" customHeight="1" thickTop="1" x14ac:dyDescent="0.25">
      <c r="D101" s="124"/>
      <c r="E101" s="124"/>
      <c r="F101" s="124"/>
      <c r="G101" s="124"/>
    </row>
    <row r="102" spans="3:7" ht="20.100000000000001" customHeight="1" x14ac:dyDescent="0.25">
      <c r="C102" s="215" t="s">
        <v>169</v>
      </c>
      <c r="D102" s="124"/>
      <c r="E102" s="124"/>
      <c r="F102" s="124"/>
      <c r="G102" s="124"/>
    </row>
    <row r="103" spans="3:7" ht="20.100000000000001" customHeight="1" x14ac:dyDescent="0.25">
      <c r="C103" s="367" t="s">
        <v>651</v>
      </c>
      <c r="D103" s="368">
        <v>52000</v>
      </c>
      <c r="E103" s="124"/>
      <c r="F103" s="124"/>
      <c r="G103" s="124"/>
    </row>
    <row r="104" spans="3:7" ht="20.100000000000001" customHeight="1" x14ac:dyDescent="0.25">
      <c r="C104" s="367" t="s">
        <v>652</v>
      </c>
      <c r="D104" s="368">
        <v>51500</v>
      </c>
      <c r="E104" s="124"/>
      <c r="F104" s="124"/>
      <c r="G104" s="124"/>
    </row>
    <row r="105" spans="3:7" ht="20.100000000000001" customHeight="1" x14ac:dyDescent="0.25">
      <c r="C105" s="367" t="s">
        <v>653</v>
      </c>
      <c r="D105" s="368">
        <v>17500</v>
      </c>
      <c r="E105" s="124"/>
      <c r="F105" s="124"/>
      <c r="G105" s="124"/>
    </row>
    <row r="106" spans="3:7" ht="20.100000000000001" customHeight="1" x14ac:dyDescent="0.25">
      <c r="C106" s="367" t="s">
        <v>588</v>
      </c>
      <c r="D106" s="368">
        <v>25000</v>
      </c>
      <c r="E106" s="124"/>
      <c r="F106" s="124"/>
      <c r="G106" s="124"/>
    </row>
    <row r="107" spans="3:7" ht="20.100000000000001" customHeight="1" x14ac:dyDescent="0.25">
      <c r="C107" s="367" t="s">
        <v>647</v>
      </c>
      <c r="D107" s="368">
        <v>25000</v>
      </c>
      <c r="E107" s="124"/>
      <c r="F107" s="124"/>
      <c r="G107" s="124"/>
    </row>
    <row r="108" spans="3:7" ht="20.100000000000001" customHeight="1" x14ac:dyDescent="0.25">
      <c r="C108" s="367" t="s">
        <v>607</v>
      </c>
      <c r="D108" s="368">
        <v>125000</v>
      </c>
      <c r="E108" s="124"/>
      <c r="F108" s="124"/>
      <c r="G108" s="124"/>
    </row>
    <row r="109" spans="3:7" ht="20.100000000000001" customHeight="1" x14ac:dyDescent="0.25">
      <c r="C109" s="367"/>
      <c r="D109" s="368"/>
      <c r="E109" s="124"/>
      <c r="F109" s="124"/>
      <c r="G109" s="124"/>
    </row>
    <row r="110" spans="3:7" ht="20.100000000000001" customHeight="1" x14ac:dyDescent="0.25">
      <c r="C110" s="367"/>
      <c r="D110" s="368"/>
      <c r="E110" s="124"/>
      <c r="F110" s="124"/>
      <c r="G110" s="124"/>
    </row>
    <row r="111" spans="3:7" ht="20.100000000000001" customHeight="1" x14ac:dyDescent="0.25">
      <c r="C111" s="367"/>
      <c r="D111" s="368"/>
      <c r="E111" s="124"/>
      <c r="F111" s="124"/>
      <c r="G111" s="124"/>
    </row>
    <row r="112" spans="3:7" ht="16.5" customHeight="1" x14ac:dyDescent="0.25">
      <c r="C112" s="367"/>
      <c r="D112" s="368"/>
      <c r="E112" s="124"/>
      <c r="F112" s="124"/>
      <c r="G112" s="124"/>
    </row>
    <row r="113" spans="3:7" ht="16.5" customHeight="1" x14ac:dyDescent="0.25">
      <c r="C113" s="367"/>
      <c r="D113" s="368"/>
      <c r="E113" s="124"/>
      <c r="F113" s="124"/>
      <c r="G113" s="124"/>
    </row>
    <row r="114" spans="3:7" ht="16.5" hidden="1" customHeight="1" x14ac:dyDescent="0.25">
      <c r="C114" s="367"/>
      <c r="D114" s="368"/>
      <c r="E114" s="124"/>
      <c r="F114" s="124"/>
      <c r="G114" s="124"/>
    </row>
    <row r="115" spans="3:7" ht="16.5" hidden="1" customHeight="1" x14ac:dyDescent="0.25">
      <c r="C115" s="367"/>
      <c r="D115" s="368"/>
      <c r="E115" s="124"/>
      <c r="F115" s="124"/>
      <c r="G115" s="124"/>
    </row>
    <row r="116" spans="3:7" ht="16.5" hidden="1" customHeight="1" x14ac:dyDescent="0.25">
      <c r="C116" s="367"/>
      <c r="D116" s="368"/>
      <c r="E116" s="124"/>
      <c r="F116" s="124"/>
      <c r="G116" s="124"/>
    </row>
    <row r="117" spans="3:7" ht="16.5" hidden="1" customHeight="1" x14ac:dyDescent="0.25">
      <c r="C117" s="367"/>
      <c r="D117" s="368"/>
      <c r="E117" s="124"/>
      <c r="F117" s="124"/>
      <c r="G117" s="124"/>
    </row>
    <row r="118" spans="3:7" ht="16.5" hidden="1" customHeight="1" x14ac:dyDescent="0.25">
      <c r="C118" s="367"/>
      <c r="D118" s="368"/>
      <c r="E118" s="124"/>
      <c r="F118" s="124"/>
      <c r="G118" s="124"/>
    </row>
    <row r="119" spans="3:7" ht="16.5" hidden="1" customHeight="1" x14ac:dyDescent="0.25">
      <c r="C119" s="367"/>
      <c r="D119" s="368"/>
      <c r="E119" s="124"/>
      <c r="F119" s="124"/>
      <c r="G119" s="124"/>
    </row>
    <row r="120" spans="3:7" ht="16.5" hidden="1" customHeight="1" x14ac:dyDescent="0.25">
      <c r="C120" s="367"/>
      <c r="D120" s="368"/>
      <c r="E120" s="124"/>
      <c r="F120" s="124"/>
      <c r="G120" s="124"/>
    </row>
    <row r="121" spans="3:7" ht="16.5" hidden="1" customHeight="1" x14ac:dyDescent="0.25">
      <c r="C121" s="367"/>
      <c r="D121" s="368"/>
      <c r="E121" s="124"/>
      <c r="F121" s="124"/>
      <c r="G121" s="124"/>
    </row>
    <row r="122" spans="3:7" ht="16.5" hidden="1" customHeight="1" x14ac:dyDescent="0.25">
      <c r="C122" s="367"/>
      <c r="D122" s="368"/>
      <c r="E122" s="124"/>
      <c r="F122" s="124"/>
      <c r="G122" s="124"/>
    </row>
    <row r="123" spans="3:7" ht="16.5" hidden="1" customHeight="1" x14ac:dyDescent="0.25">
      <c r="C123" s="367"/>
      <c r="D123" s="368"/>
      <c r="E123" s="124"/>
      <c r="F123" s="124"/>
      <c r="G123" s="124"/>
    </row>
    <row r="124" spans="3:7" ht="16.5" hidden="1" customHeight="1" x14ac:dyDescent="0.25">
      <c r="C124" s="367"/>
      <c r="D124" s="368"/>
      <c r="E124" s="124"/>
      <c r="F124" s="124"/>
      <c r="G124" s="124"/>
    </row>
    <row r="125" spans="3:7" ht="16.5" hidden="1" customHeight="1" x14ac:dyDescent="0.25">
      <c r="C125" s="367"/>
      <c r="D125" s="368"/>
      <c r="E125" s="124"/>
      <c r="F125" s="124"/>
      <c r="G125" s="124"/>
    </row>
    <row r="126" spans="3:7" ht="16.5" hidden="1" customHeight="1" x14ac:dyDescent="0.25">
      <c r="C126" s="367"/>
      <c r="D126" s="368"/>
      <c r="E126" s="124"/>
      <c r="F126" s="124"/>
      <c r="G126" s="124"/>
    </row>
    <row r="127" spans="3:7" ht="16.5" hidden="1" customHeight="1" x14ac:dyDescent="0.25">
      <c r="C127" s="367"/>
      <c r="D127" s="368"/>
      <c r="E127" s="124"/>
      <c r="F127" s="124"/>
      <c r="G127" s="124"/>
    </row>
    <row r="128" spans="3:7" ht="16.5" hidden="1" customHeight="1" x14ac:dyDescent="0.25">
      <c r="C128" s="367"/>
      <c r="D128" s="368"/>
      <c r="E128" s="124"/>
      <c r="F128" s="124"/>
      <c r="G128" s="124"/>
    </row>
    <row r="129" spans="3:7" ht="16.5" hidden="1" customHeight="1" x14ac:dyDescent="0.25">
      <c r="C129" s="367"/>
      <c r="D129" s="368"/>
      <c r="E129" s="124"/>
      <c r="F129" s="124"/>
      <c r="G129" s="124"/>
    </row>
    <row r="130" spans="3:7" ht="16.5" hidden="1" customHeight="1" x14ac:dyDescent="0.25">
      <c r="C130" s="351"/>
      <c r="D130" s="124"/>
      <c r="E130" s="124"/>
      <c r="F130" s="124"/>
      <c r="G130" s="124"/>
    </row>
    <row r="131" spans="3:7" ht="16.5" hidden="1" customHeight="1" x14ac:dyDescent="0.25">
      <c r="C131" s="185"/>
      <c r="D131" s="124"/>
      <c r="E131" s="124"/>
      <c r="F131" s="124"/>
      <c r="G131" s="124"/>
    </row>
    <row r="132" spans="3:7" ht="16.5" hidden="1" customHeight="1" x14ac:dyDescent="0.25">
      <c r="C132" s="185"/>
      <c r="D132" s="124"/>
      <c r="E132" s="124"/>
      <c r="F132" s="124"/>
      <c r="G132" s="124"/>
    </row>
    <row r="133" spans="3:7" ht="16.5" hidden="1" customHeight="1" x14ac:dyDescent="0.25">
      <c r="C133" s="185"/>
      <c r="D133" s="124"/>
      <c r="E133" s="124"/>
      <c r="F133" s="124"/>
      <c r="G133" s="124"/>
    </row>
    <row r="134" spans="3:7" ht="16.5" hidden="1" customHeight="1" x14ac:dyDescent="0.25">
      <c r="C134" s="185"/>
      <c r="D134" s="124"/>
      <c r="E134" s="124"/>
      <c r="F134" s="124"/>
      <c r="G134" s="124"/>
    </row>
    <row r="135" spans="3:7" ht="16.5" hidden="1" customHeight="1" x14ac:dyDescent="0.25">
      <c r="C135" s="185"/>
      <c r="D135" s="124"/>
      <c r="E135" s="124"/>
      <c r="F135" s="124"/>
      <c r="G135" s="124"/>
    </row>
    <row r="136" spans="3:7" ht="16.5" hidden="1" customHeight="1" x14ac:dyDescent="0.25">
      <c r="C136" s="185"/>
      <c r="D136" s="250"/>
      <c r="E136" s="124"/>
      <c r="F136" s="124"/>
      <c r="G136" s="124"/>
    </row>
    <row r="137" spans="3:7" hidden="1" x14ac:dyDescent="0.25">
      <c r="C137" s="185"/>
      <c r="D137" s="250"/>
      <c r="E137" s="124"/>
      <c r="F137" s="124"/>
      <c r="G137" s="124"/>
    </row>
    <row r="138" spans="3:7" hidden="1" x14ac:dyDescent="0.25">
      <c r="C138" s="185"/>
      <c r="D138" s="250"/>
      <c r="E138" s="124"/>
      <c r="F138" s="124"/>
      <c r="G138" s="124"/>
    </row>
    <row r="139" spans="3:7" hidden="1" x14ac:dyDescent="0.25">
      <c r="C139" s="185"/>
      <c r="D139" s="250"/>
      <c r="E139" s="124"/>
      <c r="F139" s="124"/>
      <c r="G139" s="124"/>
    </row>
    <row r="140" spans="3:7" hidden="1" x14ac:dyDescent="0.25">
      <c r="C140" s="185"/>
      <c r="D140" s="250"/>
      <c r="E140" s="124"/>
      <c r="F140" s="124"/>
      <c r="G140" s="124"/>
    </row>
    <row r="141" spans="3:7" hidden="1" x14ac:dyDescent="0.25">
      <c r="C141" s="185"/>
      <c r="D141" s="250"/>
      <c r="E141" s="124"/>
      <c r="F141" s="124"/>
      <c r="G141" s="124"/>
    </row>
    <row r="142" spans="3:7" hidden="1" x14ac:dyDescent="0.25">
      <c r="C142" s="185"/>
      <c r="D142" s="250"/>
      <c r="E142" s="124"/>
      <c r="F142" s="124"/>
      <c r="G142" s="124"/>
    </row>
    <row r="143" spans="3:7" hidden="1" x14ac:dyDescent="0.25">
      <c r="C143" s="185"/>
      <c r="D143" s="250"/>
      <c r="E143" s="124"/>
      <c r="F143" s="124"/>
      <c r="G143" s="124"/>
    </row>
    <row r="144" spans="3:7" hidden="1" x14ac:dyDescent="0.25">
      <c r="C144" s="185"/>
      <c r="D144" s="250"/>
      <c r="E144" s="124"/>
      <c r="F144" s="124"/>
      <c r="G144" s="124"/>
    </row>
    <row r="145" spans="3:7" hidden="1" x14ac:dyDescent="0.25">
      <c r="C145" s="185"/>
      <c r="D145" s="250"/>
      <c r="E145" s="124"/>
      <c r="F145" s="124"/>
      <c r="G145" s="124"/>
    </row>
    <row r="146" spans="3:7" hidden="1" x14ac:dyDescent="0.25">
      <c r="C146" s="185"/>
      <c r="D146" s="250"/>
      <c r="E146" s="124"/>
      <c r="F146" s="124"/>
      <c r="G146" s="124"/>
    </row>
    <row r="147" spans="3:7" hidden="1" x14ac:dyDescent="0.25">
      <c r="C147" s="185"/>
      <c r="D147" s="250">
        <v>2000</v>
      </c>
      <c r="E147" s="124"/>
      <c r="F147" s="124"/>
      <c r="G147" s="124"/>
    </row>
    <row r="148" spans="3:7" ht="15.75" hidden="1" x14ac:dyDescent="0.25">
      <c r="C148" s="215"/>
      <c r="D148" s="250"/>
      <c r="E148" s="124"/>
      <c r="F148" s="124"/>
      <c r="G148" s="124"/>
    </row>
    <row r="149" spans="3:7" ht="15.75" hidden="1" x14ac:dyDescent="0.25">
      <c r="C149" s="366"/>
      <c r="D149" s="368">
        <v>34547.15</v>
      </c>
      <c r="E149" s="124"/>
      <c r="F149" s="124"/>
      <c r="G149" s="124"/>
    </row>
    <row r="150" spans="3:7" ht="15.75" hidden="1" x14ac:dyDescent="0.25">
      <c r="C150" s="366"/>
      <c r="D150" s="368"/>
      <c r="E150" s="124"/>
      <c r="F150" s="124"/>
      <c r="G150" s="124"/>
    </row>
    <row r="151" spans="3:7" ht="15.75" hidden="1" x14ac:dyDescent="0.25">
      <c r="C151" s="366"/>
      <c r="D151" s="368"/>
      <c r="E151" s="124"/>
      <c r="F151" s="124"/>
      <c r="G151" s="124"/>
    </row>
    <row r="152" spans="3:7" ht="15.75" hidden="1" x14ac:dyDescent="0.25">
      <c r="C152" s="366"/>
      <c r="D152" s="368"/>
      <c r="E152" s="124"/>
      <c r="F152" s="124"/>
      <c r="G152" s="124"/>
    </row>
    <row r="153" spans="3:7" ht="15.75" hidden="1" x14ac:dyDescent="0.25">
      <c r="C153" s="366"/>
      <c r="D153" s="124"/>
      <c r="E153" s="124"/>
      <c r="F153" s="124"/>
      <c r="G153" s="124"/>
    </row>
    <row r="154" spans="3:7" ht="15.75" x14ac:dyDescent="0.25">
      <c r="C154" s="366"/>
      <c r="D154" s="124"/>
      <c r="E154" s="124"/>
      <c r="F154" s="124"/>
      <c r="G154" s="124"/>
    </row>
    <row r="155" spans="3:7" ht="16.5" customHeight="1" x14ac:dyDescent="0.25">
      <c r="C155" s="366"/>
      <c r="D155" s="124"/>
      <c r="E155" s="124"/>
      <c r="F155" s="124"/>
      <c r="G155" s="124"/>
    </row>
    <row r="156" spans="3:7" ht="16.5" customHeight="1" x14ac:dyDescent="0.25">
      <c r="C156" s="366"/>
      <c r="D156" s="124"/>
      <c r="E156" s="124"/>
      <c r="F156" s="124"/>
      <c r="G156" s="124"/>
    </row>
    <row r="157" spans="3:7" ht="16.5" hidden="1" customHeight="1" x14ac:dyDescent="0.25">
      <c r="C157" s="366"/>
      <c r="D157" s="413">
        <f>SUM(D149:D156)</f>
        <v>34547.15</v>
      </c>
      <c r="E157" s="124"/>
      <c r="F157" s="124"/>
      <c r="G157" s="124"/>
    </row>
    <row r="230" spans="3:8" hidden="1" x14ac:dyDescent="0.25">
      <c r="D230" s="214">
        <v>41698</v>
      </c>
      <c r="E230" s="214">
        <v>41609</v>
      </c>
      <c r="F230" s="214">
        <v>41548</v>
      </c>
      <c r="G230" s="214">
        <v>41487</v>
      </c>
      <c r="H230" s="419">
        <v>41426</v>
      </c>
    </row>
    <row r="231" spans="3:8" hidden="1" x14ac:dyDescent="0.25">
      <c r="C231" s="34" t="s">
        <v>127</v>
      </c>
      <c r="D231" s="147">
        <f>D89</f>
        <v>66918.569999999992</v>
      </c>
      <c r="E231" s="147">
        <f>105452.64+311868.06-305987</f>
        <v>111333.70000000001</v>
      </c>
      <c r="F231" s="147">
        <v>85798.300000000017</v>
      </c>
      <c r="G231" s="124">
        <f>53253.08+18642.89</f>
        <v>71895.97</v>
      </c>
      <c r="H231" s="419">
        <v>126315</v>
      </c>
    </row>
    <row r="232" spans="3:8" hidden="1" x14ac:dyDescent="0.25">
      <c r="C232" s="34" t="s">
        <v>128</v>
      </c>
      <c r="D232" s="147">
        <f>E89</f>
        <v>75660.81</v>
      </c>
      <c r="E232" s="147">
        <f>74767.18-13600.56</f>
        <v>61166.619999999995</v>
      </c>
      <c r="F232" s="147">
        <v>86248.31</v>
      </c>
      <c r="G232" s="124">
        <v>43187.16</v>
      </c>
      <c r="H232" s="419">
        <v>60049</v>
      </c>
    </row>
    <row r="233" spans="3:8" hidden="1" x14ac:dyDescent="0.25">
      <c r="C233" s="34" t="s">
        <v>129</v>
      </c>
      <c r="D233" s="147">
        <f>F89</f>
        <v>67745.7</v>
      </c>
      <c r="E233" s="147">
        <f>66720.93-13675.33</f>
        <v>53045.599999999991</v>
      </c>
      <c r="F233" s="147">
        <v>32950.589999999997</v>
      </c>
      <c r="G233" s="124">
        <v>65970.55</v>
      </c>
      <c r="H233" s="419">
        <v>18719</v>
      </c>
    </row>
    <row r="234" spans="3:8" hidden="1" x14ac:dyDescent="0.25">
      <c r="C234" s="34" t="s">
        <v>130</v>
      </c>
      <c r="D234" s="147">
        <f>G89</f>
        <v>25429.16</v>
      </c>
      <c r="E234" s="147">
        <v>86322.43</v>
      </c>
      <c r="F234" s="147">
        <v>66109.450000000012</v>
      </c>
      <c r="G234" s="124">
        <v>56011.13</v>
      </c>
      <c r="H234" s="419">
        <v>1250</v>
      </c>
    </row>
    <row r="235" spans="3:8" hidden="1" x14ac:dyDescent="0.25">
      <c r="D235" s="147">
        <f>SUM(D231:D234)</f>
        <v>235754.24000000002</v>
      </c>
      <c r="E235" s="147">
        <f>SUM(E231:E234)</f>
        <v>311868.34999999998</v>
      </c>
      <c r="F235" s="147">
        <v>271106.65000000002</v>
      </c>
      <c r="G235" s="124">
        <f>SUM(G231:G234)</f>
        <v>237064.81</v>
      </c>
      <c r="H235" s="419">
        <f t="shared" ref="H235" si="5">SUM(H231:H234)</f>
        <v>206333</v>
      </c>
    </row>
  </sheetData>
  <sortState xmlns:xlrd2="http://schemas.microsoft.com/office/spreadsheetml/2017/richdata2" ref="B95:K96">
    <sortCondition ref="B95:B96"/>
  </sortState>
  <mergeCells count="3">
    <mergeCell ref="B30:C30"/>
    <mergeCell ref="B9:C9"/>
    <mergeCell ref="B80:C80"/>
  </mergeCells>
  <pageMargins left="0.45" right="0.25" top="0.25" bottom="0" header="0.3" footer="0.3"/>
  <pageSetup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K73"/>
  <sheetViews>
    <sheetView zoomScale="70" zoomScaleNormal="70" workbookViewId="0">
      <selection sqref="A1:K67"/>
    </sheetView>
  </sheetViews>
  <sheetFormatPr defaultRowHeight="18" x14ac:dyDescent="0.25"/>
  <cols>
    <col min="1" max="1" width="2.875" style="34" customWidth="1"/>
    <col min="2" max="3" width="4.375" style="34" customWidth="1"/>
    <col min="4" max="4" width="11" style="34" customWidth="1"/>
    <col min="5" max="5" width="2.875" style="34" customWidth="1"/>
    <col min="6" max="6" width="34.625" style="34" customWidth="1"/>
    <col min="7" max="7" width="1.5" customWidth="1"/>
    <col min="8" max="8" width="23.875" customWidth="1"/>
    <col min="9" max="9" width="1.25" customWidth="1"/>
    <col min="10" max="10" width="25.25" customWidth="1"/>
    <col min="11" max="11" width="1.25" customWidth="1"/>
    <col min="12" max="12" width="24" hidden="1" customWidth="1"/>
    <col min="15" max="15" width="20.375" style="8" hidden="1" customWidth="1"/>
    <col min="16" max="16" width="22.875" hidden="1" customWidth="1"/>
    <col min="17" max="17" width="23.25" hidden="1" customWidth="1"/>
    <col min="255" max="255" width="2.875" customWidth="1"/>
    <col min="256" max="256" width="8.125" customWidth="1"/>
    <col min="257" max="257" width="8.75" customWidth="1"/>
    <col min="258" max="258" width="11" customWidth="1"/>
    <col min="259" max="259" width="2.875" customWidth="1"/>
    <col min="260" max="260" width="77.625" customWidth="1"/>
    <col min="261" max="261" width="20.875" customWidth="1"/>
    <col min="511" max="511" width="2.875" customWidth="1"/>
    <col min="512" max="512" width="8.125" customWidth="1"/>
    <col min="513" max="513" width="8.75" customWidth="1"/>
    <col min="514" max="514" width="11" customWidth="1"/>
    <col min="515" max="515" width="2.875" customWidth="1"/>
    <col min="516" max="516" width="77.625" customWidth="1"/>
    <col min="517" max="517" width="20.875" customWidth="1"/>
    <col min="767" max="767" width="2.875" customWidth="1"/>
    <col min="768" max="768" width="8.125" customWidth="1"/>
    <col min="769" max="769" width="8.75" customWidth="1"/>
    <col min="770" max="770" width="11" customWidth="1"/>
    <col min="771" max="771" width="2.875" customWidth="1"/>
    <col min="772" max="772" width="77.625" customWidth="1"/>
    <col min="773" max="773" width="20.875" customWidth="1"/>
    <col min="1023" max="1023" width="2.875" customWidth="1"/>
    <col min="1024" max="1024" width="8.125" customWidth="1"/>
    <col min="1025" max="1025" width="8.75" customWidth="1"/>
    <col min="1026" max="1026" width="11" customWidth="1"/>
    <col min="1027" max="1027" width="2.875" customWidth="1"/>
    <col min="1028" max="1028" width="77.625" customWidth="1"/>
    <col min="1029" max="1029" width="20.875" customWidth="1"/>
    <col min="1279" max="1279" width="2.875" customWidth="1"/>
    <col min="1280" max="1280" width="8.125" customWidth="1"/>
    <col min="1281" max="1281" width="8.75" customWidth="1"/>
    <col min="1282" max="1282" width="11" customWidth="1"/>
    <col min="1283" max="1283" width="2.875" customWidth="1"/>
    <col min="1284" max="1284" width="77.625" customWidth="1"/>
    <col min="1285" max="1285" width="20.875" customWidth="1"/>
    <col min="1535" max="1535" width="2.875" customWidth="1"/>
    <col min="1536" max="1536" width="8.125" customWidth="1"/>
    <col min="1537" max="1537" width="8.75" customWidth="1"/>
    <col min="1538" max="1538" width="11" customWidth="1"/>
    <col min="1539" max="1539" width="2.875" customWidth="1"/>
    <col min="1540" max="1540" width="77.625" customWidth="1"/>
    <col min="1541" max="1541" width="20.875" customWidth="1"/>
    <col min="1791" max="1791" width="2.875" customWidth="1"/>
    <col min="1792" max="1792" width="8.125" customWidth="1"/>
    <col min="1793" max="1793" width="8.75" customWidth="1"/>
    <col min="1794" max="1794" width="11" customWidth="1"/>
    <col min="1795" max="1795" width="2.875" customWidth="1"/>
    <col min="1796" max="1796" width="77.625" customWidth="1"/>
    <col min="1797" max="1797" width="20.875" customWidth="1"/>
    <col min="2047" max="2047" width="2.875" customWidth="1"/>
    <col min="2048" max="2048" width="8.125" customWidth="1"/>
    <col min="2049" max="2049" width="8.75" customWidth="1"/>
    <col min="2050" max="2050" width="11" customWidth="1"/>
    <col min="2051" max="2051" width="2.875" customWidth="1"/>
    <col min="2052" max="2052" width="77.625" customWidth="1"/>
    <col min="2053" max="2053" width="20.875" customWidth="1"/>
    <col min="2303" max="2303" width="2.875" customWidth="1"/>
    <col min="2304" max="2304" width="8.125" customWidth="1"/>
    <col min="2305" max="2305" width="8.75" customWidth="1"/>
    <col min="2306" max="2306" width="11" customWidth="1"/>
    <col min="2307" max="2307" width="2.875" customWidth="1"/>
    <col min="2308" max="2308" width="77.625" customWidth="1"/>
    <col min="2309" max="2309" width="20.875" customWidth="1"/>
    <col min="2559" max="2559" width="2.875" customWidth="1"/>
    <col min="2560" max="2560" width="8.125" customWidth="1"/>
    <col min="2561" max="2561" width="8.75" customWidth="1"/>
    <col min="2562" max="2562" width="11" customWidth="1"/>
    <col min="2563" max="2563" width="2.875" customWidth="1"/>
    <col min="2564" max="2564" width="77.625" customWidth="1"/>
    <col min="2565" max="2565" width="20.875" customWidth="1"/>
    <col min="2815" max="2815" width="2.875" customWidth="1"/>
    <col min="2816" max="2816" width="8.125" customWidth="1"/>
    <col min="2817" max="2817" width="8.75" customWidth="1"/>
    <col min="2818" max="2818" width="11" customWidth="1"/>
    <col min="2819" max="2819" width="2.875" customWidth="1"/>
    <col min="2820" max="2820" width="77.625" customWidth="1"/>
    <col min="2821" max="2821" width="20.875" customWidth="1"/>
    <col min="3071" max="3071" width="2.875" customWidth="1"/>
    <col min="3072" max="3072" width="8.125" customWidth="1"/>
    <col min="3073" max="3073" width="8.75" customWidth="1"/>
    <col min="3074" max="3074" width="11" customWidth="1"/>
    <col min="3075" max="3075" width="2.875" customWidth="1"/>
    <col min="3076" max="3076" width="77.625" customWidth="1"/>
    <col min="3077" max="3077" width="20.875" customWidth="1"/>
    <col min="3327" max="3327" width="2.875" customWidth="1"/>
    <col min="3328" max="3328" width="8.125" customWidth="1"/>
    <col min="3329" max="3329" width="8.75" customWidth="1"/>
    <col min="3330" max="3330" width="11" customWidth="1"/>
    <col min="3331" max="3331" width="2.875" customWidth="1"/>
    <col min="3332" max="3332" width="77.625" customWidth="1"/>
    <col min="3333" max="3333" width="20.875" customWidth="1"/>
    <col min="3583" max="3583" width="2.875" customWidth="1"/>
    <col min="3584" max="3584" width="8.125" customWidth="1"/>
    <col min="3585" max="3585" width="8.75" customWidth="1"/>
    <col min="3586" max="3586" width="11" customWidth="1"/>
    <col min="3587" max="3587" width="2.875" customWidth="1"/>
    <col min="3588" max="3588" width="77.625" customWidth="1"/>
    <col min="3589" max="3589" width="20.875" customWidth="1"/>
    <col min="3839" max="3839" width="2.875" customWidth="1"/>
    <col min="3840" max="3840" width="8.125" customWidth="1"/>
    <col min="3841" max="3841" width="8.75" customWidth="1"/>
    <col min="3842" max="3842" width="11" customWidth="1"/>
    <col min="3843" max="3843" width="2.875" customWidth="1"/>
    <col min="3844" max="3844" width="77.625" customWidth="1"/>
    <col min="3845" max="3845" width="20.875" customWidth="1"/>
    <col min="4095" max="4095" width="2.875" customWidth="1"/>
    <col min="4096" max="4096" width="8.125" customWidth="1"/>
    <col min="4097" max="4097" width="8.75" customWidth="1"/>
    <col min="4098" max="4098" width="11" customWidth="1"/>
    <col min="4099" max="4099" width="2.875" customWidth="1"/>
    <col min="4100" max="4100" width="77.625" customWidth="1"/>
    <col min="4101" max="4101" width="20.875" customWidth="1"/>
    <col min="4351" max="4351" width="2.875" customWidth="1"/>
    <col min="4352" max="4352" width="8.125" customWidth="1"/>
    <col min="4353" max="4353" width="8.75" customWidth="1"/>
    <col min="4354" max="4354" width="11" customWidth="1"/>
    <col min="4355" max="4355" width="2.875" customWidth="1"/>
    <col min="4356" max="4356" width="77.625" customWidth="1"/>
    <col min="4357" max="4357" width="20.875" customWidth="1"/>
    <col min="4607" max="4607" width="2.875" customWidth="1"/>
    <col min="4608" max="4608" width="8.125" customWidth="1"/>
    <col min="4609" max="4609" width="8.75" customWidth="1"/>
    <col min="4610" max="4610" width="11" customWidth="1"/>
    <col min="4611" max="4611" width="2.875" customWidth="1"/>
    <col min="4612" max="4612" width="77.625" customWidth="1"/>
    <col min="4613" max="4613" width="20.875" customWidth="1"/>
    <col min="4863" max="4863" width="2.875" customWidth="1"/>
    <col min="4864" max="4864" width="8.125" customWidth="1"/>
    <col min="4865" max="4865" width="8.75" customWidth="1"/>
    <col min="4866" max="4866" width="11" customWidth="1"/>
    <col min="4867" max="4867" width="2.875" customWidth="1"/>
    <col min="4868" max="4868" width="77.625" customWidth="1"/>
    <col min="4869" max="4869" width="20.875" customWidth="1"/>
    <col min="5119" max="5119" width="2.875" customWidth="1"/>
    <col min="5120" max="5120" width="8.125" customWidth="1"/>
    <col min="5121" max="5121" width="8.75" customWidth="1"/>
    <col min="5122" max="5122" width="11" customWidth="1"/>
    <col min="5123" max="5123" width="2.875" customWidth="1"/>
    <col min="5124" max="5124" width="77.625" customWidth="1"/>
    <col min="5125" max="5125" width="20.875" customWidth="1"/>
    <col min="5375" max="5375" width="2.875" customWidth="1"/>
    <col min="5376" max="5376" width="8.125" customWidth="1"/>
    <col min="5377" max="5377" width="8.75" customWidth="1"/>
    <col min="5378" max="5378" width="11" customWidth="1"/>
    <col min="5379" max="5379" width="2.875" customWidth="1"/>
    <col min="5380" max="5380" width="77.625" customWidth="1"/>
    <col min="5381" max="5381" width="20.875" customWidth="1"/>
    <col min="5631" max="5631" width="2.875" customWidth="1"/>
    <col min="5632" max="5632" width="8.125" customWidth="1"/>
    <col min="5633" max="5633" width="8.75" customWidth="1"/>
    <col min="5634" max="5634" width="11" customWidth="1"/>
    <col min="5635" max="5635" width="2.875" customWidth="1"/>
    <col min="5636" max="5636" width="77.625" customWidth="1"/>
    <col min="5637" max="5637" width="20.875" customWidth="1"/>
    <col min="5887" max="5887" width="2.875" customWidth="1"/>
    <col min="5888" max="5888" width="8.125" customWidth="1"/>
    <col min="5889" max="5889" width="8.75" customWidth="1"/>
    <col min="5890" max="5890" width="11" customWidth="1"/>
    <col min="5891" max="5891" width="2.875" customWidth="1"/>
    <col min="5892" max="5892" width="77.625" customWidth="1"/>
    <col min="5893" max="5893" width="20.875" customWidth="1"/>
    <col min="6143" max="6143" width="2.875" customWidth="1"/>
    <col min="6144" max="6144" width="8.125" customWidth="1"/>
    <col min="6145" max="6145" width="8.75" customWidth="1"/>
    <col min="6146" max="6146" width="11" customWidth="1"/>
    <col min="6147" max="6147" width="2.875" customWidth="1"/>
    <col min="6148" max="6148" width="77.625" customWidth="1"/>
    <col min="6149" max="6149" width="20.875" customWidth="1"/>
    <col min="6399" max="6399" width="2.875" customWidth="1"/>
    <col min="6400" max="6400" width="8.125" customWidth="1"/>
    <col min="6401" max="6401" width="8.75" customWidth="1"/>
    <col min="6402" max="6402" width="11" customWidth="1"/>
    <col min="6403" max="6403" width="2.875" customWidth="1"/>
    <col min="6404" max="6404" width="77.625" customWidth="1"/>
    <col min="6405" max="6405" width="20.875" customWidth="1"/>
    <col min="6655" max="6655" width="2.875" customWidth="1"/>
    <col min="6656" max="6656" width="8.125" customWidth="1"/>
    <col min="6657" max="6657" width="8.75" customWidth="1"/>
    <col min="6658" max="6658" width="11" customWidth="1"/>
    <col min="6659" max="6659" width="2.875" customWidth="1"/>
    <col min="6660" max="6660" width="77.625" customWidth="1"/>
    <col min="6661" max="6661" width="20.875" customWidth="1"/>
    <col min="6911" max="6911" width="2.875" customWidth="1"/>
    <col min="6912" max="6912" width="8.125" customWidth="1"/>
    <col min="6913" max="6913" width="8.75" customWidth="1"/>
    <col min="6914" max="6914" width="11" customWidth="1"/>
    <col min="6915" max="6915" width="2.875" customWidth="1"/>
    <col min="6916" max="6916" width="77.625" customWidth="1"/>
    <col min="6917" max="6917" width="20.875" customWidth="1"/>
    <col min="7167" max="7167" width="2.875" customWidth="1"/>
    <col min="7168" max="7168" width="8.125" customWidth="1"/>
    <col min="7169" max="7169" width="8.75" customWidth="1"/>
    <col min="7170" max="7170" width="11" customWidth="1"/>
    <col min="7171" max="7171" width="2.875" customWidth="1"/>
    <col min="7172" max="7172" width="77.625" customWidth="1"/>
    <col min="7173" max="7173" width="20.875" customWidth="1"/>
    <col min="7423" max="7423" width="2.875" customWidth="1"/>
    <col min="7424" max="7424" width="8.125" customWidth="1"/>
    <col min="7425" max="7425" width="8.75" customWidth="1"/>
    <col min="7426" max="7426" width="11" customWidth="1"/>
    <col min="7427" max="7427" width="2.875" customWidth="1"/>
    <col min="7428" max="7428" width="77.625" customWidth="1"/>
    <col min="7429" max="7429" width="20.875" customWidth="1"/>
    <col min="7679" max="7679" width="2.875" customWidth="1"/>
    <col min="7680" max="7680" width="8.125" customWidth="1"/>
    <col min="7681" max="7681" width="8.75" customWidth="1"/>
    <col min="7682" max="7682" width="11" customWidth="1"/>
    <col min="7683" max="7683" width="2.875" customWidth="1"/>
    <col min="7684" max="7684" width="77.625" customWidth="1"/>
    <col min="7685" max="7685" width="20.875" customWidth="1"/>
    <col min="7935" max="7935" width="2.875" customWidth="1"/>
    <col min="7936" max="7936" width="8.125" customWidth="1"/>
    <col min="7937" max="7937" width="8.75" customWidth="1"/>
    <col min="7938" max="7938" width="11" customWidth="1"/>
    <col min="7939" max="7939" width="2.875" customWidth="1"/>
    <col min="7940" max="7940" width="77.625" customWidth="1"/>
    <col min="7941" max="7941" width="20.875" customWidth="1"/>
    <col min="8191" max="8191" width="2.875" customWidth="1"/>
    <col min="8192" max="8192" width="8.125" customWidth="1"/>
    <col min="8193" max="8193" width="8.75" customWidth="1"/>
    <col min="8194" max="8194" width="11" customWidth="1"/>
    <col min="8195" max="8195" width="2.875" customWidth="1"/>
    <col min="8196" max="8196" width="77.625" customWidth="1"/>
    <col min="8197" max="8197" width="20.875" customWidth="1"/>
    <col min="8447" max="8447" width="2.875" customWidth="1"/>
    <col min="8448" max="8448" width="8.125" customWidth="1"/>
    <col min="8449" max="8449" width="8.75" customWidth="1"/>
    <col min="8450" max="8450" width="11" customWidth="1"/>
    <col min="8451" max="8451" width="2.875" customWidth="1"/>
    <col min="8452" max="8452" width="77.625" customWidth="1"/>
    <col min="8453" max="8453" width="20.875" customWidth="1"/>
    <col min="8703" max="8703" width="2.875" customWidth="1"/>
    <col min="8704" max="8704" width="8.125" customWidth="1"/>
    <col min="8705" max="8705" width="8.75" customWidth="1"/>
    <col min="8706" max="8706" width="11" customWidth="1"/>
    <col min="8707" max="8707" width="2.875" customWidth="1"/>
    <col min="8708" max="8708" width="77.625" customWidth="1"/>
    <col min="8709" max="8709" width="20.875" customWidth="1"/>
    <col min="8959" max="8959" width="2.875" customWidth="1"/>
    <col min="8960" max="8960" width="8.125" customWidth="1"/>
    <col min="8961" max="8961" width="8.75" customWidth="1"/>
    <col min="8962" max="8962" width="11" customWidth="1"/>
    <col min="8963" max="8963" width="2.875" customWidth="1"/>
    <col min="8964" max="8964" width="77.625" customWidth="1"/>
    <col min="8965" max="8965" width="20.875" customWidth="1"/>
    <col min="9215" max="9215" width="2.875" customWidth="1"/>
    <col min="9216" max="9216" width="8.125" customWidth="1"/>
    <col min="9217" max="9217" width="8.75" customWidth="1"/>
    <col min="9218" max="9218" width="11" customWidth="1"/>
    <col min="9219" max="9219" width="2.875" customWidth="1"/>
    <col min="9220" max="9220" width="77.625" customWidth="1"/>
    <col min="9221" max="9221" width="20.875" customWidth="1"/>
    <col min="9471" max="9471" width="2.875" customWidth="1"/>
    <col min="9472" max="9472" width="8.125" customWidth="1"/>
    <col min="9473" max="9473" width="8.75" customWidth="1"/>
    <col min="9474" max="9474" width="11" customWidth="1"/>
    <col min="9475" max="9475" width="2.875" customWidth="1"/>
    <col min="9476" max="9476" width="77.625" customWidth="1"/>
    <col min="9477" max="9477" width="20.875" customWidth="1"/>
    <col min="9727" max="9727" width="2.875" customWidth="1"/>
    <col min="9728" max="9728" width="8.125" customWidth="1"/>
    <col min="9729" max="9729" width="8.75" customWidth="1"/>
    <col min="9730" max="9730" width="11" customWidth="1"/>
    <col min="9731" max="9731" width="2.875" customWidth="1"/>
    <col min="9732" max="9732" width="77.625" customWidth="1"/>
    <col min="9733" max="9733" width="20.875" customWidth="1"/>
    <col min="9983" max="9983" width="2.875" customWidth="1"/>
    <col min="9984" max="9984" width="8.125" customWidth="1"/>
    <col min="9985" max="9985" width="8.75" customWidth="1"/>
    <col min="9986" max="9986" width="11" customWidth="1"/>
    <col min="9987" max="9987" width="2.875" customWidth="1"/>
    <col min="9988" max="9988" width="77.625" customWidth="1"/>
    <col min="9989" max="9989" width="20.875" customWidth="1"/>
    <col min="10239" max="10239" width="2.875" customWidth="1"/>
    <col min="10240" max="10240" width="8.125" customWidth="1"/>
    <col min="10241" max="10241" width="8.75" customWidth="1"/>
    <col min="10242" max="10242" width="11" customWidth="1"/>
    <col min="10243" max="10243" width="2.875" customWidth="1"/>
    <col min="10244" max="10244" width="77.625" customWidth="1"/>
    <col min="10245" max="10245" width="20.875" customWidth="1"/>
    <col min="10495" max="10495" width="2.875" customWidth="1"/>
    <col min="10496" max="10496" width="8.125" customWidth="1"/>
    <col min="10497" max="10497" width="8.75" customWidth="1"/>
    <col min="10498" max="10498" width="11" customWidth="1"/>
    <col min="10499" max="10499" width="2.875" customWidth="1"/>
    <col min="10500" max="10500" width="77.625" customWidth="1"/>
    <col min="10501" max="10501" width="20.875" customWidth="1"/>
    <col min="10751" max="10751" width="2.875" customWidth="1"/>
    <col min="10752" max="10752" width="8.125" customWidth="1"/>
    <col min="10753" max="10753" width="8.75" customWidth="1"/>
    <col min="10754" max="10754" width="11" customWidth="1"/>
    <col min="10755" max="10755" width="2.875" customWidth="1"/>
    <col min="10756" max="10756" width="77.625" customWidth="1"/>
    <col min="10757" max="10757" width="20.875" customWidth="1"/>
    <col min="11007" max="11007" width="2.875" customWidth="1"/>
    <col min="11008" max="11008" width="8.125" customWidth="1"/>
    <col min="11009" max="11009" width="8.75" customWidth="1"/>
    <col min="11010" max="11010" width="11" customWidth="1"/>
    <col min="11011" max="11011" width="2.875" customWidth="1"/>
    <col min="11012" max="11012" width="77.625" customWidth="1"/>
    <col min="11013" max="11013" width="20.875" customWidth="1"/>
    <col min="11263" max="11263" width="2.875" customWidth="1"/>
    <col min="11264" max="11264" width="8.125" customWidth="1"/>
    <col min="11265" max="11265" width="8.75" customWidth="1"/>
    <col min="11266" max="11266" width="11" customWidth="1"/>
    <col min="11267" max="11267" width="2.875" customWidth="1"/>
    <col min="11268" max="11268" width="77.625" customWidth="1"/>
    <col min="11269" max="11269" width="20.875" customWidth="1"/>
    <col min="11519" max="11519" width="2.875" customWidth="1"/>
    <col min="11520" max="11520" width="8.125" customWidth="1"/>
    <col min="11521" max="11521" width="8.75" customWidth="1"/>
    <col min="11522" max="11522" width="11" customWidth="1"/>
    <col min="11523" max="11523" width="2.875" customWidth="1"/>
    <col min="11524" max="11524" width="77.625" customWidth="1"/>
    <col min="11525" max="11525" width="20.875" customWidth="1"/>
    <col min="11775" max="11775" width="2.875" customWidth="1"/>
    <col min="11776" max="11776" width="8.125" customWidth="1"/>
    <col min="11777" max="11777" width="8.75" customWidth="1"/>
    <col min="11778" max="11778" width="11" customWidth="1"/>
    <col min="11779" max="11779" width="2.875" customWidth="1"/>
    <col min="11780" max="11780" width="77.625" customWidth="1"/>
    <col min="11781" max="11781" width="20.875" customWidth="1"/>
    <col min="12031" max="12031" width="2.875" customWidth="1"/>
    <col min="12032" max="12032" width="8.125" customWidth="1"/>
    <col min="12033" max="12033" width="8.75" customWidth="1"/>
    <col min="12034" max="12034" width="11" customWidth="1"/>
    <col min="12035" max="12035" width="2.875" customWidth="1"/>
    <col min="12036" max="12036" width="77.625" customWidth="1"/>
    <col min="12037" max="12037" width="20.875" customWidth="1"/>
    <col min="12287" max="12287" width="2.875" customWidth="1"/>
    <col min="12288" max="12288" width="8.125" customWidth="1"/>
    <col min="12289" max="12289" width="8.75" customWidth="1"/>
    <col min="12290" max="12290" width="11" customWidth="1"/>
    <col min="12291" max="12291" width="2.875" customWidth="1"/>
    <col min="12292" max="12292" width="77.625" customWidth="1"/>
    <col min="12293" max="12293" width="20.875" customWidth="1"/>
    <col min="12543" max="12543" width="2.875" customWidth="1"/>
    <col min="12544" max="12544" width="8.125" customWidth="1"/>
    <col min="12545" max="12545" width="8.75" customWidth="1"/>
    <col min="12546" max="12546" width="11" customWidth="1"/>
    <col min="12547" max="12547" width="2.875" customWidth="1"/>
    <col min="12548" max="12548" width="77.625" customWidth="1"/>
    <col min="12549" max="12549" width="20.875" customWidth="1"/>
    <col min="12799" max="12799" width="2.875" customWidth="1"/>
    <col min="12800" max="12800" width="8.125" customWidth="1"/>
    <col min="12801" max="12801" width="8.75" customWidth="1"/>
    <col min="12802" max="12802" width="11" customWidth="1"/>
    <col min="12803" max="12803" width="2.875" customWidth="1"/>
    <col min="12804" max="12804" width="77.625" customWidth="1"/>
    <col min="12805" max="12805" width="20.875" customWidth="1"/>
    <col min="13055" max="13055" width="2.875" customWidth="1"/>
    <col min="13056" max="13056" width="8.125" customWidth="1"/>
    <col min="13057" max="13057" width="8.75" customWidth="1"/>
    <col min="13058" max="13058" width="11" customWidth="1"/>
    <col min="13059" max="13059" width="2.875" customWidth="1"/>
    <col min="13060" max="13060" width="77.625" customWidth="1"/>
    <col min="13061" max="13061" width="20.875" customWidth="1"/>
    <col min="13311" max="13311" width="2.875" customWidth="1"/>
    <col min="13312" max="13312" width="8.125" customWidth="1"/>
    <col min="13313" max="13313" width="8.75" customWidth="1"/>
    <col min="13314" max="13314" width="11" customWidth="1"/>
    <col min="13315" max="13315" width="2.875" customWidth="1"/>
    <col min="13316" max="13316" width="77.625" customWidth="1"/>
    <col min="13317" max="13317" width="20.875" customWidth="1"/>
    <col min="13567" max="13567" width="2.875" customWidth="1"/>
    <col min="13568" max="13568" width="8.125" customWidth="1"/>
    <col min="13569" max="13569" width="8.75" customWidth="1"/>
    <col min="13570" max="13570" width="11" customWidth="1"/>
    <col min="13571" max="13571" width="2.875" customWidth="1"/>
    <col min="13572" max="13572" width="77.625" customWidth="1"/>
    <col min="13573" max="13573" width="20.875" customWidth="1"/>
    <col min="13823" max="13823" width="2.875" customWidth="1"/>
    <col min="13824" max="13824" width="8.125" customWidth="1"/>
    <col min="13825" max="13825" width="8.75" customWidth="1"/>
    <col min="13826" max="13826" width="11" customWidth="1"/>
    <col min="13827" max="13827" width="2.875" customWidth="1"/>
    <col min="13828" max="13828" width="77.625" customWidth="1"/>
    <col min="13829" max="13829" width="20.875" customWidth="1"/>
    <col min="14079" max="14079" width="2.875" customWidth="1"/>
    <col min="14080" max="14080" width="8.125" customWidth="1"/>
    <col min="14081" max="14081" width="8.75" customWidth="1"/>
    <col min="14082" max="14082" width="11" customWidth="1"/>
    <col min="14083" max="14083" width="2.875" customWidth="1"/>
    <col min="14084" max="14084" width="77.625" customWidth="1"/>
    <col min="14085" max="14085" width="20.875" customWidth="1"/>
    <col min="14335" max="14335" width="2.875" customWidth="1"/>
    <col min="14336" max="14336" width="8.125" customWidth="1"/>
    <col min="14337" max="14337" width="8.75" customWidth="1"/>
    <col min="14338" max="14338" width="11" customWidth="1"/>
    <col min="14339" max="14339" width="2.875" customWidth="1"/>
    <col min="14340" max="14340" width="77.625" customWidth="1"/>
    <col min="14341" max="14341" width="20.875" customWidth="1"/>
    <col min="14591" max="14591" width="2.875" customWidth="1"/>
    <col min="14592" max="14592" width="8.125" customWidth="1"/>
    <col min="14593" max="14593" width="8.75" customWidth="1"/>
    <col min="14594" max="14594" width="11" customWidth="1"/>
    <col min="14595" max="14595" width="2.875" customWidth="1"/>
    <col min="14596" max="14596" width="77.625" customWidth="1"/>
    <col min="14597" max="14597" width="20.875" customWidth="1"/>
    <col min="14847" max="14847" width="2.875" customWidth="1"/>
    <col min="14848" max="14848" width="8.125" customWidth="1"/>
    <col min="14849" max="14849" width="8.75" customWidth="1"/>
    <col min="14850" max="14850" width="11" customWidth="1"/>
    <col min="14851" max="14851" width="2.875" customWidth="1"/>
    <col min="14852" max="14852" width="77.625" customWidth="1"/>
    <col min="14853" max="14853" width="20.875" customWidth="1"/>
    <col min="15103" max="15103" width="2.875" customWidth="1"/>
    <col min="15104" max="15104" width="8.125" customWidth="1"/>
    <col min="15105" max="15105" width="8.75" customWidth="1"/>
    <col min="15106" max="15106" width="11" customWidth="1"/>
    <col min="15107" max="15107" width="2.875" customWidth="1"/>
    <col min="15108" max="15108" width="77.625" customWidth="1"/>
    <col min="15109" max="15109" width="20.875" customWidth="1"/>
    <col min="15359" max="15359" width="2.875" customWidth="1"/>
    <col min="15360" max="15360" width="8.125" customWidth="1"/>
    <col min="15361" max="15361" width="8.75" customWidth="1"/>
    <col min="15362" max="15362" width="11" customWidth="1"/>
    <col min="15363" max="15363" width="2.875" customWidth="1"/>
    <col min="15364" max="15364" width="77.625" customWidth="1"/>
    <col min="15365" max="15365" width="20.875" customWidth="1"/>
    <col min="15615" max="15615" width="2.875" customWidth="1"/>
    <col min="15616" max="15616" width="8.125" customWidth="1"/>
    <col min="15617" max="15617" width="8.75" customWidth="1"/>
    <col min="15618" max="15618" width="11" customWidth="1"/>
    <col min="15619" max="15619" width="2.875" customWidth="1"/>
    <col min="15620" max="15620" width="77.625" customWidth="1"/>
    <col min="15621" max="15621" width="20.875" customWidth="1"/>
    <col min="15871" max="15871" width="2.875" customWidth="1"/>
    <col min="15872" max="15872" width="8.125" customWidth="1"/>
    <col min="15873" max="15873" width="8.75" customWidth="1"/>
    <col min="15874" max="15874" width="11" customWidth="1"/>
    <col min="15875" max="15875" width="2.875" customWidth="1"/>
    <col min="15876" max="15876" width="77.625" customWidth="1"/>
    <col min="15877" max="15877" width="20.875" customWidth="1"/>
    <col min="16127" max="16127" width="2.875" customWidth="1"/>
    <col min="16128" max="16128" width="8.125" customWidth="1"/>
    <col min="16129" max="16129" width="8.75" customWidth="1"/>
    <col min="16130" max="16130" width="11" customWidth="1"/>
    <col min="16131" max="16131" width="2.875" customWidth="1"/>
    <col min="16132" max="16132" width="77.625" customWidth="1"/>
    <col min="16133" max="16133" width="20.875" customWidth="1"/>
  </cols>
  <sheetData>
    <row r="1" spans="1:167" ht="22.5" customHeight="1" x14ac:dyDescent="0.4">
      <c r="A1" s="35" t="s">
        <v>90</v>
      </c>
      <c r="B1" s="36"/>
      <c r="C1" s="37"/>
      <c r="D1" s="37"/>
      <c r="E1" s="37"/>
      <c r="F1" s="36"/>
      <c r="G1" s="36"/>
      <c r="H1" s="36"/>
      <c r="I1" s="36"/>
      <c r="J1" s="36"/>
      <c r="K1" s="36"/>
      <c r="L1" s="36"/>
    </row>
    <row r="2" spans="1:167" ht="22.5" customHeight="1" x14ac:dyDescent="0.4">
      <c r="A2" s="35" t="s">
        <v>163</v>
      </c>
      <c r="B2" s="36"/>
      <c r="C2" s="37"/>
      <c r="D2" s="37"/>
      <c r="E2" s="37"/>
      <c r="F2" s="36"/>
      <c r="G2" s="36"/>
      <c r="H2" s="36"/>
      <c r="I2" s="36"/>
      <c r="J2" s="36"/>
      <c r="K2" s="36"/>
      <c r="L2" s="36"/>
      <c r="O2"/>
    </row>
    <row r="3" spans="1:167" ht="11.25" hidden="1" customHeight="1" x14ac:dyDescent="0.4">
      <c r="A3" s="35"/>
      <c r="B3" s="36"/>
      <c r="C3" s="37"/>
      <c r="D3" s="37"/>
      <c r="E3" s="37"/>
      <c r="F3" s="36"/>
      <c r="G3" s="36"/>
      <c r="H3" s="36"/>
      <c r="I3" s="36"/>
      <c r="J3" s="36"/>
      <c r="K3" s="36"/>
      <c r="L3" s="36"/>
      <c r="O3"/>
    </row>
    <row r="4" spans="1:167" ht="35.1" hidden="1" customHeight="1" x14ac:dyDescent="0.4">
      <c r="A4" s="35" t="s">
        <v>44</v>
      </c>
      <c r="B4" s="36"/>
      <c r="C4" s="37"/>
      <c r="D4" s="37"/>
      <c r="E4" s="37"/>
      <c r="F4" s="36"/>
      <c r="G4" s="36"/>
      <c r="H4" s="36"/>
      <c r="I4" s="36"/>
      <c r="J4" s="36"/>
      <c r="K4" s="36"/>
      <c r="L4" s="36"/>
      <c r="O4"/>
    </row>
    <row r="5" spans="1:167" s="39" customFormat="1" ht="8.25" customHeight="1" thickBot="1" x14ac:dyDescent="0.25">
      <c r="A5" s="38"/>
      <c r="B5" s="38"/>
      <c r="C5" s="38"/>
      <c r="D5" s="38"/>
      <c r="E5" s="38"/>
      <c r="F5" s="3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row>
    <row r="6" spans="1:167" s="42" customFormat="1" ht="27.75" thickTop="1" thickBot="1" x14ac:dyDescent="0.25">
      <c r="A6" s="40" t="s">
        <v>45</v>
      </c>
      <c r="B6" s="40"/>
      <c r="C6" s="40"/>
      <c r="D6" s="40"/>
      <c r="E6" s="40"/>
      <c r="F6" s="40"/>
      <c r="G6" s="157"/>
      <c r="H6" s="790" t="s">
        <v>46</v>
      </c>
      <c r="I6" s="790"/>
      <c r="J6" s="790"/>
      <c r="K6" s="157"/>
      <c r="L6" s="157"/>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row>
    <row r="7" spans="1:167" s="44" customFormat="1" ht="8.25" customHeight="1" thickTop="1" x14ac:dyDescent="0.2">
      <c r="A7" s="43"/>
      <c r="B7" s="43"/>
      <c r="C7" s="43"/>
      <c r="D7" s="43"/>
      <c r="E7" s="43"/>
      <c r="F7" s="43"/>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row>
    <row r="8" spans="1:167" ht="21" thickBot="1" x14ac:dyDescent="0.35">
      <c r="A8" s="45"/>
      <c r="B8" s="98" t="s">
        <v>47</v>
      </c>
      <c r="C8" s="98"/>
      <c r="D8" s="98"/>
      <c r="E8" s="98"/>
      <c r="F8" s="98"/>
      <c r="G8" s="224"/>
      <c r="H8" s="187">
        <v>45716</v>
      </c>
      <c r="I8" s="187"/>
      <c r="J8" s="187">
        <v>45351</v>
      </c>
      <c r="L8" s="187">
        <f>H8-366</f>
        <v>45350</v>
      </c>
      <c r="O8"/>
    </row>
    <row r="9" spans="1:167" s="44" customFormat="1" ht="6.75" customHeight="1" x14ac:dyDescent="0.2">
      <c r="A9" s="43"/>
      <c r="B9" s="43"/>
      <c r="C9" s="43"/>
      <c r="D9" s="43"/>
      <c r="E9" s="43"/>
      <c r="F9" s="43"/>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row>
    <row r="10" spans="1:167" s="44" customFormat="1" ht="20.25" x14ac:dyDescent="0.2">
      <c r="A10" s="43"/>
      <c r="B10" s="43"/>
      <c r="C10" s="43" t="s">
        <v>48</v>
      </c>
      <c r="D10" s="43"/>
      <c r="E10" s="43"/>
      <c r="F10" s="43"/>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row>
    <row r="11" spans="1:167" s="44" customFormat="1" ht="20.25" hidden="1" x14ac:dyDescent="0.2">
      <c r="A11" s="47"/>
      <c r="B11" s="47"/>
      <c r="C11" s="47"/>
      <c r="D11" s="47" t="s">
        <v>72</v>
      </c>
      <c r="E11" s="47"/>
      <c r="F11" s="47"/>
      <c r="G11" s="174"/>
      <c r="H11" s="174" t="s">
        <v>95</v>
      </c>
      <c r="I11" s="174"/>
      <c r="J11" s="174" t="s">
        <v>95</v>
      </c>
      <c r="L11" s="174" t="s">
        <v>95</v>
      </c>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row>
    <row r="12" spans="1:167" s="44" customFormat="1" ht="20.25" hidden="1" x14ac:dyDescent="0.2">
      <c r="A12" s="47"/>
      <c r="B12" s="47"/>
      <c r="C12" s="47"/>
      <c r="D12" s="47" t="s">
        <v>73</v>
      </c>
      <c r="E12" s="47"/>
      <c r="F12" s="47"/>
      <c r="G12" s="174"/>
      <c r="H12" s="174" t="s">
        <v>95</v>
      </c>
      <c r="I12" s="174"/>
      <c r="J12" s="174" t="s">
        <v>95</v>
      </c>
      <c r="L12" s="174" t="s">
        <v>95</v>
      </c>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row>
    <row r="13" spans="1:167" s="44" customFormat="1" ht="20.25" x14ac:dyDescent="0.2">
      <c r="A13" s="47"/>
      <c r="B13" s="47"/>
      <c r="C13" s="47"/>
      <c r="D13" s="47" t="s">
        <v>172</v>
      </c>
      <c r="E13" s="47"/>
      <c r="F13" s="47"/>
      <c r="G13" s="160"/>
      <c r="H13" s="160">
        <v>305785.2</v>
      </c>
      <c r="I13" s="160"/>
      <c r="J13" s="160">
        <v>553727.51</v>
      </c>
      <c r="L13" s="160">
        <v>403401</v>
      </c>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row>
    <row r="14" spans="1:167" s="44" customFormat="1" ht="20.25" x14ac:dyDescent="0.2">
      <c r="A14" s="47"/>
      <c r="B14" s="47"/>
      <c r="C14" s="47"/>
      <c r="D14" s="47" t="s">
        <v>589</v>
      </c>
      <c r="E14" s="47"/>
      <c r="F14" s="47"/>
      <c r="G14" s="160"/>
      <c r="H14" s="151">
        <v>257348.59</v>
      </c>
      <c r="I14" s="160"/>
      <c r="J14" s="160"/>
      <c r="L14" s="160"/>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row>
    <row r="15" spans="1:167" s="44" customFormat="1" ht="20.25" x14ac:dyDescent="0.2">
      <c r="A15" s="47"/>
      <c r="B15" s="47"/>
      <c r="C15" s="47"/>
      <c r="D15" s="47" t="s">
        <v>173</v>
      </c>
      <c r="E15" s="47"/>
      <c r="F15" s="47"/>
      <c r="G15" s="151"/>
      <c r="H15" s="151">
        <v>200.2</v>
      </c>
      <c r="I15" s="151"/>
      <c r="J15" s="151">
        <v>200.01</v>
      </c>
      <c r="L15" s="151">
        <v>199.93</v>
      </c>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row>
    <row r="16" spans="1:167" s="44" customFormat="1" ht="20.25" x14ac:dyDescent="0.2">
      <c r="A16" s="47"/>
      <c r="B16" s="47"/>
      <c r="C16" s="48"/>
      <c r="D16" s="48" t="s">
        <v>74</v>
      </c>
      <c r="E16" s="48"/>
      <c r="F16" s="48"/>
      <c r="G16" s="151"/>
      <c r="H16" s="153">
        <v>200</v>
      </c>
      <c r="I16" s="151"/>
      <c r="J16" s="153">
        <v>200</v>
      </c>
      <c r="L16" s="153">
        <v>200</v>
      </c>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row>
    <row r="17" spans="1:167" s="44" customFormat="1" ht="20.25" x14ac:dyDescent="0.2">
      <c r="A17" s="43"/>
      <c r="B17" s="43"/>
      <c r="C17" s="43" t="s">
        <v>49</v>
      </c>
      <c r="D17" s="43"/>
      <c r="E17" s="43"/>
      <c r="F17" s="43"/>
      <c r="G17" s="154"/>
      <c r="H17" s="154">
        <f>SUM(H13:H16)</f>
        <v>563533.99</v>
      </c>
      <c r="I17" s="154"/>
      <c r="J17" s="154">
        <f>SUM(J13:J16)</f>
        <v>554127.52</v>
      </c>
      <c r="L17" s="154">
        <f>ROUND(SUM(L10:L16),5)</f>
        <v>403800.93</v>
      </c>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row>
    <row r="18" spans="1:167" s="44" customFormat="1" ht="14.25" customHeight="1" x14ac:dyDescent="0.2">
      <c r="A18" s="43"/>
      <c r="B18" s="43"/>
      <c r="C18" s="43"/>
      <c r="D18" s="43"/>
      <c r="E18" s="43"/>
      <c r="F18" s="43"/>
      <c r="G18" s="151"/>
      <c r="H18" s="151"/>
      <c r="I18" s="151"/>
      <c r="J18" s="151"/>
      <c r="L18" s="151"/>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row>
    <row r="19" spans="1:167" s="44" customFormat="1" ht="20.25" x14ac:dyDescent="0.2">
      <c r="A19" s="43"/>
      <c r="B19" s="43"/>
      <c r="C19" s="43" t="s">
        <v>51</v>
      </c>
      <c r="D19" s="43"/>
      <c r="E19" s="43"/>
      <c r="F19" s="43"/>
      <c r="G19" s="151"/>
      <c r="H19" s="151"/>
      <c r="I19" s="151"/>
      <c r="J19" s="151"/>
      <c r="L19" s="151"/>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row>
    <row r="20" spans="1:167" s="44" customFormat="1" ht="20.25" x14ac:dyDescent="0.2">
      <c r="A20" s="47"/>
      <c r="B20" s="47"/>
      <c r="C20" s="47"/>
      <c r="D20" s="47" t="s">
        <v>144</v>
      </c>
      <c r="E20" s="47"/>
      <c r="F20" s="47"/>
      <c r="G20" s="186"/>
      <c r="H20" s="186">
        <f>'February''25 AR Aging'!H52</f>
        <v>339402.98</v>
      </c>
      <c r="I20" s="186"/>
      <c r="J20" s="186">
        <v>390662</v>
      </c>
      <c r="K20" s="162"/>
      <c r="L20" s="186">
        <v>355947.69</v>
      </c>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row>
    <row r="21" spans="1:167" s="44" customFormat="1" ht="20.25" x14ac:dyDescent="0.2">
      <c r="A21" s="47"/>
      <c r="B21" s="47"/>
      <c r="C21" s="47"/>
      <c r="D21" s="47" t="s">
        <v>155</v>
      </c>
      <c r="E21" s="47"/>
      <c r="F21" s="47"/>
      <c r="G21" s="186"/>
      <c r="H21" s="151">
        <v>0</v>
      </c>
      <c r="I21" s="151"/>
      <c r="J21" s="151">
        <v>0</v>
      </c>
      <c r="K21" s="162"/>
      <c r="L21" s="15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row>
    <row r="22" spans="1:167" s="44" customFormat="1" ht="20.25" x14ac:dyDescent="0.2">
      <c r="A22" s="47"/>
      <c r="B22" s="47"/>
      <c r="C22" s="47"/>
      <c r="D22" s="47" t="s">
        <v>205</v>
      </c>
      <c r="E22" s="47"/>
      <c r="F22" s="47"/>
      <c r="G22" s="151"/>
      <c r="H22" s="151">
        <v>501419.92</v>
      </c>
      <c r="I22" s="151"/>
      <c r="J22" s="151">
        <v>449092.1</v>
      </c>
      <c r="K22" s="162"/>
      <c r="L22" s="151">
        <v>389315.86</v>
      </c>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row>
    <row r="23" spans="1:167" s="44" customFormat="1" ht="20.25" x14ac:dyDescent="0.2">
      <c r="A23" s="47"/>
      <c r="B23" s="47"/>
      <c r="C23" s="48"/>
      <c r="D23" s="48" t="s">
        <v>75</v>
      </c>
      <c r="E23" s="48"/>
      <c r="F23" s="48"/>
      <c r="G23" s="151"/>
      <c r="H23" s="153">
        <v>6258.52</v>
      </c>
      <c r="I23" s="151"/>
      <c r="J23" s="153">
        <v>15276.9</v>
      </c>
      <c r="K23" s="162"/>
      <c r="L23" s="153">
        <v>5646.41</v>
      </c>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row>
    <row r="24" spans="1:167" s="44" customFormat="1" ht="20.25" x14ac:dyDescent="0.2">
      <c r="A24" s="43"/>
      <c r="B24" s="43"/>
      <c r="C24" s="43" t="s">
        <v>52</v>
      </c>
      <c r="D24" s="43"/>
      <c r="E24" s="43"/>
      <c r="F24" s="43"/>
      <c r="G24" s="154"/>
      <c r="H24" s="154">
        <f>SUM(H20:H23)</f>
        <v>847081.41999999993</v>
      </c>
      <c r="I24" s="154"/>
      <c r="J24" s="154">
        <f>SUM(J20:J23)</f>
        <v>855031</v>
      </c>
      <c r="K24" s="162"/>
      <c r="L24" s="154">
        <f>SUM(L20:L23)</f>
        <v>750909.96000000008</v>
      </c>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row>
    <row r="25" spans="1:167" s="44" customFormat="1" ht="20.25" x14ac:dyDescent="0.2">
      <c r="A25" s="43"/>
      <c r="B25" s="43"/>
      <c r="C25" s="43"/>
      <c r="D25" s="43"/>
      <c r="E25" s="43"/>
      <c r="F25" s="43"/>
      <c r="G25" s="151"/>
      <c r="H25" s="151"/>
      <c r="I25" s="151"/>
      <c r="J25" s="151"/>
      <c r="L25" s="151"/>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row>
    <row r="26" spans="1:167" s="44" customFormat="1" ht="20.25" x14ac:dyDescent="0.2">
      <c r="A26" s="43"/>
      <c r="B26" s="49" t="s">
        <v>53</v>
      </c>
      <c r="C26" s="49"/>
      <c r="D26" s="49"/>
      <c r="E26" s="49"/>
      <c r="F26" s="49"/>
      <c r="G26" s="154"/>
      <c r="H26" s="474">
        <f>H17+H24</f>
        <v>1410615.41</v>
      </c>
      <c r="I26" s="154"/>
      <c r="J26" s="474">
        <f>J17+J24</f>
        <v>1409158.52</v>
      </c>
      <c r="L26" s="474">
        <f>L17+L24</f>
        <v>1154710.8900000001</v>
      </c>
      <c r="M26"/>
      <c r="N26"/>
      <c r="O26">
        <v>1387639.62</v>
      </c>
      <c r="P26">
        <f>H26-O26</f>
        <v>22975.789999999804</v>
      </c>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row>
    <row r="27" spans="1:167" s="44" customFormat="1" ht="20.25" x14ac:dyDescent="0.2">
      <c r="A27" s="43"/>
      <c r="B27" s="43"/>
      <c r="C27" s="43"/>
      <c r="D27" s="43"/>
      <c r="E27" s="43"/>
      <c r="F27" s="43"/>
      <c r="G27" s="154"/>
      <c r="H27" s="154"/>
      <c r="I27" s="154"/>
      <c r="J27" s="154"/>
      <c r="L27" s="154"/>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row>
    <row r="28" spans="1:167" ht="20.25" x14ac:dyDescent="0.3">
      <c r="A28" s="45"/>
      <c r="B28" s="46" t="s">
        <v>54</v>
      </c>
      <c r="C28" s="46"/>
      <c r="D28" s="46"/>
      <c r="E28" s="46"/>
      <c r="F28" s="46"/>
      <c r="G28" s="175"/>
      <c r="H28" s="155"/>
      <c r="I28" s="175"/>
      <c r="J28" s="155"/>
      <c r="L28" s="155"/>
      <c r="O28"/>
    </row>
    <row r="29" spans="1:167" s="44" customFormat="1" ht="20.25" hidden="1" x14ac:dyDescent="0.2">
      <c r="A29" s="47"/>
      <c r="B29" s="47"/>
      <c r="C29" s="47"/>
      <c r="D29" s="47" t="s">
        <v>76</v>
      </c>
      <c r="E29" s="47"/>
      <c r="F29" s="47"/>
      <c r="G29" s="151"/>
      <c r="H29" s="151">
        <v>221731.4</v>
      </c>
      <c r="I29" s="151"/>
      <c r="J29" s="151">
        <v>221731.4</v>
      </c>
      <c r="K29" s="162"/>
      <c r="L29" s="151">
        <v>192474.47</v>
      </c>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row>
    <row r="30" spans="1:167" s="44" customFormat="1" ht="20.25" hidden="1" x14ac:dyDescent="0.2">
      <c r="A30" s="47"/>
      <c r="B30" s="47"/>
      <c r="C30" s="47"/>
      <c r="D30" s="47" t="s">
        <v>77</v>
      </c>
      <c r="E30" s="47"/>
      <c r="F30" s="47"/>
      <c r="G30" s="151"/>
      <c r="H30" s="151">
        <v>49562</v>
      </c>
      <c r="I30" s="151"/>
      <c r="J30" s="151">
        <v>49562</v>
      </c>
      <c r="K30" s="162"/>
      <c r="L30" s="151">
        <v>49562</v>
      </c>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row>
    <row r="31" spans="1:167" s="44" customFormat="1" ht="20.25" hidden="1" x14ac:dyDescent="0.2">
      <c r="A31" s="47"/>
      <c r="B31" s="47"/>
      <c r="C31" s="47"/>
      <c r="D31" s="47" t="s">
        <v>78</v>
      </c>
      <c r="E31" s="47"/>
      <c r="F31" s="47"/>
      <c r="G31" s="151"/>
      <c r="H31" s="151">
        <v>207734.77</v>
      </c>
      <c r="I31" s="151"/>
      <c r="J31" s="151">
        <v>207734.77</v>
      </c>
      <c r="K31" s="162"/>
      <c r="L31" s="151">
        <v>158464.06</v>
      </c>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row>
    <row r="32" spans="1:167" s="44" customFormat="1" ht="20.25" hidden="1" x14ac:dyDescent="0.2">
      <c r="A32" s="47"/>
      <c r="B32" s="47"/>
      <c r="C32" s="47"/>
      <c r="D32" s="47" t="s">
        <v>79</v>
      </c>
      <c r="E32" s="47"/>
      <c r="F32" s="47"/>
      <c r="G32" s="151"/>
      <c r="H32" s="151">
        <v>-324036.03999999998</v>
      </c>
      <c r="I32" s="151"/>
      <c r="J32" s="151">
        <v>-324036.03999999998</v>
      </c>
      <c r="K32" s="162"/>
      <c r="L32" s="151">
        <f>-279077.04</f>
        <v>-279077.03999999998</v>
      </c>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row>
    <row r="33" spans="1:167" s="44" customFormat="1" ht="20.25" x14ac:dyDescent="0.2">
      <c r="A33" s="43"/>
      <c r="B33" s="49" t="s">
        <v>313</v>
      </c>
      <c r="C33" s="49"/>
      <c r="D33" s="49"/>
      <c r="E33" s="49"/>
      <c r="F33" s="49"/>
      <c r="G33" s="154"/>
      <c r="H33" s="156">
        <v>149524.51999999999</v>
      </c>
      <c r="I33" s="154"/>
      <c r="J33" s="156">
        <v>193363.58</v>
      </c>
      <c r="L33" s="156">
        <v>207235</v>
      </c>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row>
    <row r="34" spans="1:167" s="44" customFormat="1" ht="7.5" customHeight="1" x14ac:dyDescent="0.2">
      <c r="A34" s="43"/>
      <c r="B34" s="43"/>
      <c r="C34" s="43"/>
      <c r="D34" s="43"/>
      <c r="E34" s="43"/>
      <c r="F34" s="43"/>
      <c r="G34" s="154"/>
      <c r="H34" s="154" t="s">
        <v>508</v>
      </c>
      <c r="I34" s="154"/>
      <c r="J34" s="154" t="s">
        <v>508</v>
      </c>
      <c r="L34" s="15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row>
    <row r="35" spans="1:167" s="44" customFormat="1" ht="12.75" customHeight="1" thickBot="1" x14ac:dyDescent="0.25">
      <c r="A35" s="43"/>
      <c r="B35" s="43"/>
      <c r="C35" s="43"/>
      <c r="D35" s="43"/>
      <c r="E35" s="43"/>
      <c r="F35" s="43"/>
      <c r="G35" s="151"/>
      <c r="H35" s="151"/>
      <c r="I35" s="151"/>
      <c r="J35" s="151"/>
      <c r="L35" s="151"/>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row>
    <row r="36" spans="1:167" s="52" customFormat="1" ht="27.75" thickTop="1" thickBot="1" x14ac:dyDescent="0.25">
      <c r="A36" s="50" t="s">
        <v>55</v>
      </c>
      <c r="B36" s="50"/>
      <c r="C36" s="50"/>
      <c r="D36" s="50"/>
      <c r="E36" s="50"/>
      <c r="F36" s="50"/>
      <c r="G36" s="177"/>
      <c r="H36" s="161">
        <f>H26+H33</f>
        <v>1560139.93</v>
      </c>
      <c r="I36" s="177"/>
      <c r="J36" s="161">
        <f>J26+J33</f>
        <v>1602522.1</v>
      </c>
      <c r="K36" s="51"/>
      <c r="L36" s="161">
        <f>L26+L33</f>
        <v>1361945.8900000001</v>
      </c>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row>
    <row r="37" spans="1:167" s="53" customFormat="1" ht="33" customHeight="1" thickTop="1" thickBot="1" x14ac:dyDescent="0.25">
      <c r="A37" s="43"/>
      <c r="B37" s="43"/>
      <c r="C37" s="43"/>
      <c r="D37" s="43"/>
      <c r="E37" s="43"/>
      <c r="F37" s="43"/>
      <c r="G37" s="226"/>
      <c r="H37" s="154"/>
      <c r="I37" s="154"/>
      <c r="J37" s="154"/>
      <c r="L37" s="154"/>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row>
    <row r="38" spans="1:167" s="42" customFormat="1" ht="27.75" thickTop="1" thickBot="1" x14ac:dyDescent="0.25">
      <c r="A38" s="40" t="s">
        <v>56</v>
      </c>
      <c r="B38" s="40"/>
      <c r="C38" s="40"/>
      <c r="D38" s="40"/>
      <c r="E38" s="40"/>
      <c r="F38" s="40"/>
      <c r="G38" s="225"/>
      <c r="H38" s="157"/>
      <c r="I38" s="157"/>
      <c r="J38" s="157"/>
      <c r="K38" s="41"/>
      <c r="L38" s="157"/>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row>
    <row r="39" spans="1:167" s="44" customFormat="1" ht="12.75" customHeight="1" thickTop="1" x14ac:dyDescent="0.2">
      <c r="A39" s="43"/>
      <c r="B39" s="43"/>
      <c r="C39" s="43"/>
      <c r="D39" s="43"/>
      <c r="E39" s="43"/>
      <c r="F39" s="43"/>
      <c r="G39" s="151"/>
      <c r="H39" s="151"/>
      <c r="I39" s="151"/>
      <c r="J39" s="151"/>
      <c r="L39" s="151"/>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row>
    <row r="40" spans="1:167" s="44" customFormat="1" ht="19.5" customHeight="1" thickBot="1" x14ac:dyDescent="0.25">
      <c r="A40" s="43"/>
      <c r="B40" s="54" t="s">
        <v>57</v>
      </c>
      <c r="C40" s="55"/>
      <c r="D40" s="55"/>
      <c r="E40" s="55"/>
      <c r="F40" s="55"/>
      <c r="G40" s="158"/>
      <c r="H40" s="158"/>
      <c r="I40" s="158"/>
      <c r="J40" s="158"/>
      <c r="L40" s="158"/>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row>
    <row r="41" spans="1:167" s="44" customFormat="1" ht="9" customHeight="1" x14ac:dyDescent="0.2">
      <c r="A41" s="43"/>
      <c r="B41" s="43"/>
      <c r="C41" s="43"/>
      <c r="D41" s="43"/>
      <c r="E41" s="43"/>
      <c r="F41" s="43"/>
      <c r="G41" s="151"/>
      <c r="H41" s="151"/>
      <c r="I41" s="151"/>
      <c r="J41" s="151"/>
      <c r="L41" s="15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row>
    <row r="42" spans="1:167" ht="21" thickBot="1" x14ac:dyDescent="0.35">
      <c r="A42" s="45"/>
      <c r="B42" s="98" t="s">
        <v>58</v>
      </c>
      <c r="C42" s="99"/>
      <c r="D42" s="98"/>
      <c r="E42" s="98"/>
      <c r="F42" s="98"/>
      <c r="G42" s="175"/>
      <c r="H42" s="152"/>
      <c r="I42" s="175"/>
      <c r="J42" s="152"/>
      <c r="L42" s="152"/>
      <c r="O42"/>
    </row>
    <row r="43" spans="1:167" s="44" customFormat="1" ht="20.25" x14ac:dyDescent="0.2">
      <c r="A43" s="47"/>
      <c r="B43" s="47"/>
      <c r="C43" s="47"/>
      <c r="D43" s="47" t="s">
        <v>145</v>
      </c>
      <c r="F43" s="47"/>
      <c r="G43" s="160"/>
      <c r="H43" s="160">
        <v>8608.8700000000008</v>
      </c>
      <c r="I43" s="160"/>
      <c r="J43" s="160">
        <v>33447.620000000003</v>
      </c>
      <c r="K43" s="262"/>
      <c r="L43" s="160">
        <v>29573.77</v>
      </c>
      <c r="M43"/>
      <c r="N43"/>
      <c r="O43">
        <f>H43</f>
        <v>8608.8700000000008</v>
      </c>
      <c r="P43">
        <f>J43</f>
        <v>33447.620000000003</v>
      </c>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row>
    <row r="44" spans="1:167" s="44" customFormat="1" ht="20.25" x14ac:dyDescent="0.2">
      <c r="A44" s="47"/>
      <c r="B44" s="47"/>
      <c r="C44" s="47"/>
      <c r="D44" s="47" t="s">
        <v>92</v>
      </c>
      <c r="F44" s="47"/>
      <c r="G44" s="151"/>
      <c r="H44" s="151">
        <v>549.4</v>
      </c>
      <c r="I44" s="151"/>
      <c r="J44" s="151">
        <v>789.3</v>
      </c>
      <c r="L44" s="151">
        <v>660</v>
      </c>
      <c r="M44"/>
      <c r="N44"/>
      <c r="O44">
        <f>H44</f>
        <v>549.4</v>
      </c>
      <c r="P44">
        <f t="shared" ref="P44:P48" si="0">J44</f>
        <v>789.3</v>
      </c>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row>
    <row r="45" spans="1:167" s="44" customFormat="1" ht="20.25" hidden="1" x14ac:dyDescent="0.2">
      <c r="A45" s="47"/>
      <c r="B45" s="47"/>
      <c r="C45" s="47"/>
      <c r="D45" s="47" t="s">
        <v>386</v>
      </c>
      <c r="F45" s="47"/>
      <c r="G45" s="151"/>
      <c r="H45" s="151">
        <v>0</v>
      </c>
      <c r="I45" s="151"/>
      <c r="J45" s="151">
        <v>0</v>
      </c>
      <c r="L45" s="151"/>
      <c r="M45"/>
      <c r="N45"/>
      <c r="O45"/>
      <c r="P45">
        <f t="shared" si="0"/>
        <v>0</v>
      </c>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row>
    <row r="46" spans="1:167" s="44" customFormat="1" ht="20.25" x14ac:dyDescent="0.2">
      <c r="A46" s="47"/>
      <c r="B46" s="47"/>
      <c r="C46" s="47"/>
      <c r="D46" s="792" t="s">
        <v>436</v>
      </c>
      <c r="E46" s="792"/>
      <c r="F46" s="792"/>
      <c r="G46" s="151"/>
      <c r="H46" s="151">
        <f>57207.12+8669</f>
        <v>65876.12</v>
      </c>
      <c r="I46" s="151"/>
      <c r="J46" s="151">
        <f>84727.92+8669</f>
        <v>93396.92</v>
      </c>
      <c r="L46" s="151">
        <v>92114.5</v>
      </c>
      <c r="M46"/>
      <c r="N46"/>
      <c r="O46">
        <f>H46</f>
        <v>65876.12</v>
      </c>
      <c r="P46">
        <f t="shared" si="0"/>
        <v>93396.92</v>
      </c>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row>
    <row r="47" spans="1:167" s="44" customFormat="1" ht="20.25" x14ac:dyDescent="0.2">
      <c r="A47" s="47"/>
      <c r="B47" s="47"/>
      <c r="C47" s="47"/>
      <c r="D47" s="47" t="s">
        <v>80</v>
      </c>
      <c r="F47" s="47"/>
      <c r="G47" s="151"/>
      <c r="H47" s="151">
        <f>25993.6</f>
        <v>25993.599999999999</v>
      </c>
      <c r="I47" s="151"/>
      <c r="J47" s="151"/>
      <c r="L47" s="151">
        <f>2535.29-1675.7-137+8669</f>
        <v>9391.59</v>
      </c>
      <c r="M47"/>
      <c r="N47"/>
      <c r="O47">
        <f>H47</f>
        <v>25993.599999999999</v>
      </c>
      <c r="P47">
        <f t="shared" si="0"/>
        <v>0</v>
      </c>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row>
    <row r="48" spans="1:167" s="44" customFormat="1" ht="20.25" hidden="1" x14ac:dyDescent="0.2">
      <c r="A48" s="47"/>
      <c r="B48" s="47"/>
      <c r="C48" s="47"/>
      <c r="D48" s="47" t="s">
        <v>151</v>
      </c>
      <c r="F48" s="47"/>
      <c r="G48" s="151"/>
      <c r="H48" s="151">
        <v>0</v>
      </c>
      <c r="I48" s="151"/>
      <c r="J48" s="151">
        <v>0</v>
      </c>
      <c r="L48" s="151">
        <v>0</v>
      </c>
      <c r="M48"/>
      <c r="N48"/>
      <c r="O48"/>
      <c r="P48">
        <f t="shared" si="0"/>
        <v>0</v>
      </c>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row>
    <row r="49" spans="1:167" s="44" customFormat="1" ht="20.25" x14ac:dyDescent="0.2">
      <c r="A49" s="47"/>
      <c r="B49" s="47"/>
      <c r="C49" s="47"/>
      <c r="D49" s="48" t="s">
        <v>91</v>
      </c>
      <c r="E49" s="97"/>
      <c r="F49" s="48"/>
      <c r="G49" s="151"/>
      <c r="H49" s="151">
        <f>'February''25 Revenues &amp; Expenses'!M44</f>
        <v>223624.02333333332</v>
      </c>
      <c r="I49" s="151"/>
      <c r="J49" s="151">
        <v>275067.27</v>
      </c>
      <c r="K49" s="162"/>
      <c r="L49" s="151">
        <v>217213.68</v>
      </c>
      <c r="M49"/>
      <c r="N49"/>
      <c r="O49">
        <v>223624</v>
      </c>
      <c r="P49">
        <v>0</v>
      </c>
      <c r="Q49">
        <f>O49-H49</f>
        <v>-2.3333333316259086E-2</v>
      </c>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row>
    <row r="50" spans="1:167" s="44" customFormat="1" ht="20.25" x14ac:dyDescent="0.2">
      <c r="A50" s="47"/>
      <c r="B50" s="47"/>
      <c r="C50" s="49" t="s">
        <v>68</v>
      </c>
      <c r="D50" s="47"/>
      <c r="F50" s="47"/>
      <c r="G50" s="151"/>
      <c r="H50" s="159">
        <f>SUM(H43:H49)</f>
        <v>324652.01333333331</v>
      </c>
      <c r="I50" s="151"/>
      <c r="J50" s="159">
        <f>SUM(J43:J49)</f>
        <v>402701.11</v>
      </c>
      <c r="L50" s="159">
        <f>SUM(L43:L49)</f>
        <v>348953.54000000004</v>
      </c>
      <c r="M50"/>
      <c r="N50"/>
      <c r="O50">
        <f>SUM(O43:O49)</f>
        <v>324651.99</v>
      </c>
      <c r="P50">
        <f>SUM(P43:P49)</f>
        <v>127633.84</v>
      </c>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row>
    <row r="51" spans="1:167" s="44" customFormat="1" ht="9.75" customHeight="1" x14ac:dyDescent="0.2">
      <c r="A51" s="47"/>
      <c r="B51" s="47"/>
      <c r="C51" s="47"/>
      <c r="D51" s="47"/>
      <c r="E51" s="47"/>
      <c r="F51" s="47"/>
      <c r="G51" s="151"/>
      <c r="H51" s="151"/>
      <c r="I51" s="151"/>
      <c r="J51" s="151"/>
      <c r="L51" s="1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row>
    <row r="52" spans="1:167" s="44" customFormat="1" ht="20.25" x14ac:dyDescent="0.2">
      <c r="A52" s="47"/>
      <c r="B52" s="47"/>
      <c r="C52" s="56" t="s">
        <v>70</v>
      </c>
      <c r="D52" s="56"/>
      <c r="E52" s="97"/>
      <c r="F52" s="97"/>
      <c r="G52" s="151"/>
      <c r="H52" s="153"/>
      <c r="I52" s="151"/>
      <c r="J52" s="153"/>
      <c r="L52" s="153"/>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row>
    <row r="53" spans="1:167" s="44" customFormat="1" ht="20.25" x14ac:dyDescent="0.2">
      <c r="A53" s="47"/>
      <c r="B53" s="47"/>
      <c r="C53" s="47"/>
      <c r="D53" s="47" t="s">
        <v>83</v>
      </c>
      <c r="E53" s="47"/>
      <c r="F53" s="47"/>
      <c r="G53" s="151"/>
      <c r="H53" s="151">
        <f>3317.45+86.64+7+651.51+252.36-26.76+16800.57</f>
        <v>21088.769999999997</v>
      </c>
      <c r="I53" s="151"/>
      <c r="J53" s="151">
        <f>-600+3100.29+84.32+587.03+334.4+62.54+14705.22</f>
        <v>18273.8</v>
      </c>
      <c r="L53" s="151">
        <v>24553</v>
      </c>
      <c r="M53"/>
      <c r="N53"/>
      <c r="O53">
        <f>H53</f>
        <v>21088.769999999997</v>
      </c>
      <c r="P53">
        <f t="shared" ref="P53:P56" si="1">J53</f>
        <v>18273.8</v>
      </c>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row>
    <row r="54" spans="1:167" s="44" customFormat="1" ht="20.25" x14ac:dyDescent="0.2">
      <c r="A54" s="47"/>
      <c r="B54" s="47"/>
      <c r="C54" s="47"/>
      <c r="D54" s="47" t="s">
        <v>84</v>
      </c>
      <c r="E54" s="47"/>
      <c r="F54" s="47"/>
      <c r="G54" s="151"/>
      <c r="H54" s="151">
        <v>21466.12</v>
      </c>
      <c r="I54" s="151"/>
      <c r="J54" s="151">
        <v>24076.66</v>
      </c>
      <c r="L54" s="151">
        <v>28273</v>
      </c>
      <c r="M54"/>
      <c r="N54"/>
      <c r="O54">
        <f>H54</f>
        <v>21466.12</v>
      </c>
      <c r="P54">
        <f t="shared" si="1"/>
        <v>24076.66</v>
      </c>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row>
    <row r="55" spans="1:167" s="44" customFormat="1" ht="20.25" x14ac:dyDescent="0.2">
      <c r="A55" s="47"/>
      <c r="B55" s="47"/>
      <c r="C55" s="47"/>
      <c r="D55" s="47" t="s">
        <v>85</v>
      </c>
      <c r="E55" s="47"/>
      <c r="F55" s="47"/>
      <c r="G55" s="151"/>
      <c r="H55" s="151">
        <v>2839.14</v>
      </c>
      <c r="I55" s="151"/>
      <c r="J55" s="151">
        <v>-12.11</v>
      </c>
      <c r="L55" s="151">
        <v>1675.7</v>
      </c>
      <c r="M55"/>
      <c r="N55"/>
      <c r="O55">
        <f>H55</f>
        <v>2839.14</v>
      </c>
      <c r="P55">
        <f t="shared" si="1"/>
        <v>-12.11</v>
      </c>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row>
    <row r="56" spans="1:167" s="44" customFormat="1" ht="24" x14ac:dyDescent="0.2">
      <c r="A56" s="47"/>
      <c r="B56" s="47"/>
      <c r="C56" s="47"/>
      <c r="D56" s="47" t="s">
        <v>86</v>
      </c>
      <c r="E56" s="47"/>
      <c r="F56" s="47"/>
      <c r="G56" s="151"/>
      <c r="H56" s="153">
        <v>1657.47</v>
      </c>
      <c r="I56" s="151"/>
      <c r="J56" s="153">
        <v>150.24</v>
      </c>
      <c r="L56" s="153">
        <v>137.26</v>
      </c>
      <c r="O56" s="752">
        <f>H56</f>
        <v>1657.47</v>
      </c>
      <c r="P56" s="752">
        <f t="shared" si="1"/>
        <v>150.24</v>
      </c>
      <c r="Q56" s="162"/>
    </row>
    <row r="57" spans="1:167" s="44" customFormat="1" ht="20.25" x14ac:dyDescent="0.2">
      <c r="A57" s="47"/>
      <c r="B57" s="47"/>
      <c r="C57" s="43" t="s">
        <v>69</v>
      </c>
      <c r="D57" s="47"/>
      <c r="F57" s="47"/>
      <c r="G57" s="151"/>
      <c r="H57" s="151">
        <f>ROUND(SUM(H52:H56),5)</f>
        <v>47051.5</v>
      </c>
      <c r="I57" s="151"/>
      <c r="J57" s="151">
        <f>ROUND(SUM(J52:J56),5)</f>
        <v>42488.59</v>
      </c>
      <c r="L57" s="151">
        <f>ROUND(SUM(L52:L56),5)</f>
        <v>54638.96</v>
      </c>
      <c r="O57" s="159">
        <f>SUM(O53:O56)</f>
        <v>47051.5</v>
      </c>
      <c r="P57" s="159">
        <f>SUM(P53:P56)</f>
        <v>42488.59</v>
      </c>
    </row>
    <row r="58" spans="1:167" s="44" customFormat="1" ht="7.5" customHeight="1" x14ac:dyDescent="0.2">
      <c r="A58" s="47"/>
      <c r="B58" s="47"/>
      <c r="C58" s="48"/>
      <c r="D58" s="48"/>
      <c r="E58" s="48"/>
      <c r="F58" s="48"/>
      <c r="G58" s="151"/>
      <c r="H58" s="153"/>
      <c r="I58" s="151"/>
      <c r="J58" s="153"/>
      <c r="L58" s="153"/>
      <c r="O58" s="636"/>
    </row>
    <row r="59" spans="1:167" s="44" customFormat="1" ht="20.25" x14ac:dyDescent="0.2">
      <c r="A59" s="43"/>
      <c r="B59" s="43"/>
      <c r="C59" s="43" t="s">
        <v>71</v>
      </c>
      <c r="D59" s="43"/>
      <c r="E59" s="43"/>
      <c r="F59" s="43"/>
      <c r="G59" s="154"/>
      <c r="H59" s="154">
        <f>H50+H57</f>
        <v>371703.51333333331</v>
      </c>
      <c r="I59" s="154"/>
      <c r="J59" s="154">
        <f>J50+J57</f>
        <v>445189.69999999995</v>
      </c>
      <c r="K59" s="162"/>
      <c r="L59" s="154">
        <f>L50+L57</f>
        <v>403592.50000000006</v>
      </c>
      <c r="N59" s="237"/>
      <c r="O59" s="636">
        <f>O50+O57</f>
        <v>371703.49</v>
      </c>
      <c r="P59" s="356"/>
      <c r="Q59" s="237"/>
    </row>
    <row r="60" spans="1:167" s="44" customFormat="1" ht="18.75" customHeight="1" x14ac:dyDescent="0.2">
      <c r="A60" s="43"/>
      <c r="B60" s="43"/>
      <c r="C60" s="43"/>
      <c r="D60" s="43"/>
      <c r="E60" s="43"/>
      <c r="F60" s="43"/>
      <c r="G60" s="154"/>
      <c r="H60" s="154"/>
      <c r="I60" s="154"/>
      <c r="J60" s="154"/>
      <c r="L60" s="237"/>
      <c r="O60" s="636">
        <v>368238.62</v>
      </c>
    </row>
    <row r="61" spans="1:167" s="44" customFormat="1" ht="24" thickBot="1" x14ac:dyDescent="0.25">
      <c r="A61" s="43"/>
      <c r="B61" s="54" t="s">
        <v>59</v>
      </c>
      <c r="C61" s="55"/>
      <c r="D61" s="55"/>
      <c r="E61" s="55"/>
      <c r="F61" s="55"/>
      <c r="G61" s="151"/>
      <c r="H61" s="158"/>
      <c r="I61" s="151"/>
      <c r="J61" s="158"/>
      <c r="L61" s="158"/>
      <c r="O61" s="636">
        <f>O59-O60</f>
        <v>3464.8699999999953</v>
      </c>
    </row>
    <row r="62" spans="1:167" s="44" customFormat="1" ht="24" x14ac:dyDescent="0.2">
      <c r="A62" s="47"/>
      <c r="B62" s="47"/>
      <c r="D62" s="47" t="s">
        <v>315</v>
      </c>
      <c r="E62" s="47"/>
      <c r="F62" s="47"/>
      <c r="G62" s="151"/>
      <c r="H62" s="151">
        <f>1048250.46+35972.48+12500</f>
        <v>1096722.94</v>
      </c>
      <c r="I62" s="151"/>
      <c r="J62" s="151">
        <f>957416.19+35972.48</f>
        <v>993388.66999999993</v>
      </c>
      <c r="K62" s="162"/>
      <c r="L62" s="151">
        <f>854583+35972.48</f>
        <v>890555.48</v>
      </c>
      <c r="O62" s="754">
        <f>H62</f>
        <v>1096722.94</v>
      </c>
      <c r="P62" s="162"/>
    </row>
    <row r="63" spans="1:167" s="44" customFormat="1" ht="24" x14ac:dyDescent="0.2">
      <c r="A63" s="47"/>
      <c r="B63" s="47"/>
      <c r="D63" s="47" t="s">
        <v>316</v>
      </c>
      <c r="E63" s="47"/>
      <c r="F63" s="47"/>
      <c r="G63" s="151"/>
      <c r="H63" s="151">
        <f>'February''25 Revenues &amp; Expenses'!M66+676.51</f>
        <v>79324.94666666667</v>
      </c>
      <c r="I63" s="151"/>
      <c r="J63" s="151">
        <f>123469.93+12500</f>
        <v>135969.93</v>
      </c>
      <c r="K63" s="162"/>
      <c r="L63" s="151">
        <f>67320.28+12500</f>
        <v>79820.28</v>
      </c>
      <c r="O63" s="753">
        <v>79324.710000000006</v>
      </c>
      <c r="P63" s="162"/>
      <c r="Q63" s="162">
        <f>H63-O63</f>
        <v>0.23666666666395031</v>
      </c>
    </row>
    <row r="64" spans="1:167" s="44" customFormat="1" ht="24.75" thickBot="1" x14ac:dyDescent="0.25">
      <c r="A64" s="43"/>
      <c r="B64" s="43"/>
      <c r="D64" s="47" t="s">
        <v>125</v>
      </c>
      <c r="E64" s="43"/>
      <c r="F64" s="55"/>
      <c r="G64" s="151"/>
      <c r="H64" s="158">
        <v>12388.53</v>
      </c>
      <c r="I64" s="151"/>
      <c r="J64" s="158">
        <v>27974.06</v>
      </c>
      <c r="L64" s="158">
        <f>#REF!</f>
        <v>-9320.7060000000056</v>
      </c>
      <c r="O64" s="753"/>
      <c r="P64" s="265"/>
    </row>
    <row r="65" spans="1:12" s="44" customFormat="1" ht="23.25" x14ac:dyDescent="0.2">
      <c r="A65" s="43"/>
      <c r="B65" s="57" t="s">
        <v>60</v>
      </c>
      <c r="C65" s="58"/>
      <c r="D65" s="58"/>
      <c r="E65" s="58"/>
      <c r="F65" s="43"/>
      <c r="G65" s="154"/>
      <c r="H65" s="154">
        <f>ROUND(SUM(H61:H64),5)</f>
        <v>1188436.4166699999</v>
      </c>
      <c r="I65" s="154"/>
      <c r="J65" s="154">
        <f>ROUND(SUM(J62:J64),5)</f>
        <v>1157332.6599999999</v>
      </c>
      <c r="L65" s="154">
        <f>ROUND(SUM(L61:L64),5)</f>
        <v>961055.054</v>
      </c>
    </row>
    <row r="66" spans="1:12" s="44" customFormat="1" ht="12.75" customHeight="1" x14ac:dyDescent="0.2">
      <c r="A66" s="43"/>
      <c r="B66" s="43"/>
      <c r="C66" s="43"/>
      <c r="D66" s="43"/>
      <c r="E66" s="43"/>
      <c r="F66" s="43"/>
      <c r="G66" s="151"/>
      <c r="H66" s="153"/>
      <c r="I66" s="151"/>
      <c r="J66" s="153"/>
      <c r="L66" s="153"/>
    </row>
    <row r="67" spans="1:12" s="51" customFormat="1" ht="27" thickBot="1" x14ac:dyDescent="0.25">
      <c r="A67" s="50" t="s">
        <v>61</v>
      </c>
      <c r="B67" s="50"/>
      <c r="C67" s="50"/>
      <c r="D67" s="50"/>
      <c r="E67" s="50"/>
      <c r="F67" s="50"/>
      <c r="G67" s="177"/>
      <c r="H67" s="248">
        <f>SUM(H59+H65)</f>
        <v>1560139.9300033334</v>
      </c>
      <c r="I67" s="177"/>
      <c r="J67" s="248">
        <f>SUM(J59+J65)</f>
        <v>1602522.3599999999</v>
      </c>
      <c r="L67" s="248">
        <f>SUM(L59+L65)</f>
        <v>1364647.554</v>
      </c>
    </row>
    <row r="68" spans="1:12" ht="18.75" thickTop="1" x14ac:dyDescent="0.25">
      <c r="D68" s="238"/>
    </row>
    <row r="69" spans="1:12" hidden="1" x14ac:dyDescent="0.25">
      <c r="G69" s="164"/>
      <c r="H69" s="164"/>
      <c r="I69" s="164"/>
      <c r="J69" s="164"/>
      <c r="L69" s="164"/>
    </row>
    <row r="70" spans="1:12" ht="14.25" customHeight="1" x14ac:dyDescent="0.25">
      <c r="C70" s="860" t="s">
        <v>192</v>
      </c>
      <c r="D70" s="860"/>
      <c r="E70" s="860"/>
      <c r="F70" s="860"/>
      <c r="H70" s="288">
        <f>(H20+H17)/H59</f>
        <v>2.4291859980087716</v>
      </c>
      <c r="J70" s="288">
        <f>(J20+J17)/J59</f>
        <v>2.1222178320837166</v>
      </c>
      <c r="K70" s="162"/>
      <c r="L70" s="288">
        <f>(L20+L17)/L59</f>
        <v>1.882464664234345</v>
      </c>
    </row>
    <row r="72" spans="1:12" x14ac:dyDescent="0.25">
      <c r="L72" s="164"/>
    </row>
    <row r="73" spans="1:12" ht="24" x14ac:dyDescent="0.25">
      <c r="G73" s="148"/>
      <c r="H73" s="789"/>
      <c r="I73" s="148"/>
      <c r="J73" s="164"/>
      <c r="L73" s="164"/>
    </row>
  </sheetData>
  <mergeCells count="3">
    <mergeCell ref="C70:F70"/>
    <mergeCell ref="H6:J6"/>
    <mergeCell ref="D46:F46"/>
  </mergeCells>
  <pageMargins left="0.7" right="0.45" top="0.25" bottom="0" header="0.3" footer="0"/>
  <pageSetup scale="6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N75"/>
  <sheetViews>
    <sheetView zoomScale="70" zoomScaleNormal="70" workbookViewId="0">
      <pane xSplit="6" topLeftCell="G1" activePane="topRight" state="frozen"/>
      <selection pane="topRight" activeCell="G64" sqref="G64"/>
    </sheetView>
  </sheetViews>
  <sheetFormatPr defaultRowHeight="18" x14ac:dyDescent="0.25"/>
  <cols>
    <col min="1" max="1" width="2.875" style="34" customWidth="1"/>
    <col min="2" max="2" width="8.125" style="34" customWidth="1"/>
    <col min="3" max="3" width="8.75" style="34" customWidth="1"/>
    <col min="4" max="4" width="5.75" style="34" customWidth="1"/>
    <col min="5" max="5" width="2.875" style="34" customWidth="1"/>
    <col min="6" max="6" width="44.625" style="34" customWidth="1"/>
    <col min="7" max="7" width="24" style="148" customWidth="1"/>
    <col min="8" max="8" width="24.25" customWidth="1"/>
    <col min="9" max="9" width="1.625" customWidth="1"/>
    <col min="10" max="10" width="25.125" customWidth="1"/>
    <col min="11" max="11" width="23.25" style="254" customWidth="1"/>
    <col min="12" max="12" width="17.25" customWidth="1"/>
    <col min="13" max="13" width="10.75" bestFit="1" customWidth="1"/>
    <col min="14" max="14" width="84.375" style="8" customWidth="1"/>
    <col min="15" max="15" width="12.625" style="19" hidden="1" customWidth="1"/>
    <col min="16" max="16" width="31.875" style="18" hidden="1" customWidth="1"/>
    <col min="17" max="17" width="17.375" style="8" hidden="1" customWidth="1"/>
    <col min="18" max="18" width="15" style="8" hidden="1" customWidth="1"/>
    <col min="19" max="19" width="9.5" style="8" hidden="1" customWidth="1"/>
    <col min="20" max="22" width="0" style="8" hidden="1" customWidth="1"/>
    <col min="23" max="26" width="9" style="8"/>
    <col min="241" max="241" width="2.875" customWidth="1"/>
    <col min="242" max="242" width="8.125" customWidth="1"/>
    <col min="243" max="243" width="8.75" customWidth="1"/>
    <col min="244" max="244" width="11" customWidth="1"/>
    <col min="245" max="245" width="2.875" customWidth="1"/>
    <col min="246" max="246" width="77.625" customWidth="1"/>
    <col min="247" max="247" width="20.875" customWidth="1"/>
    <col min="497" max="497" width="2.875" customWidth="1"/>
    <col min="498" max="498" width="8.125" customWidth="1"/>
    <col min="499" max="499" width="8.75" customWidth="1"/>
    <col min="500" max="500" width="11" customWidth="1"/>
    <col min="501" max="501" width="2.875" customWidth="1"/>
    <col min="502" max="502" width="77.625" customWidth="1"/>
    <col min="503" max="503" width="20.875" customWidth="1"/>
    <col min="753" max="753" width="2.875" customWidth="1"/>
    <col min="754" max="754" width="8.125" customWidth="1"/>
    <col min="755" max="755" width="8.75" customWidth="1"/>
    <col min="756" max="756" width="11" customWidth="1"/>
    <col min="757" max="757" width="2.875" customWidth="1"/>
    <col min="758" max="758" width="77.625" customWidth="1"/>
    <col min="759" max="759" width="20.875" customWidth="1"/>
    <col min="1009" max="1009" width="2.875" customWidth="1"/>
    <col min="1010" max="1010" width="8.125" customWidth="1"/>
    <col min="1011" max="1011" width="8.75" customWidth="1"/>
    <col min="1012" max="1012" width="11" customWidth="1"/>
    <col min="1013" max="1013" width="2.875" customWidth="1"/>
    <col min="1014" max="1014" width="77.625" customWidth="1"/>
    <col min="1015" max="1015" width="20.875" customWidth="1"/>
    <col min="1265" max="1265" width="2.875" customWidth="1"/>
    <col min="1266" max="1266" width="8.125" customWidth="1"/>
    <col min="1267" max="1267" width="8.75" customWidth="1"/>
    <col min="1268" max="1268" width="11" customWidth="1"/>
    <col min="1269" max="1269" width="2.875" customWidth="1"/>
    <col min="1270" max="1270" width="77.625" customWidth="1"/>
    <col min="1271" max="1271" width="20.875" customWidth="1"/>
    <col min="1521" max="1521" width="2.875" customWidth="1"/>
    <col min="1522" max="1522" width="8.125" customWidth="1"/>
    <col min="1523" max="1523" width="8.75" customWidth="1"/>
    <col min="1524" max="1524" width="11" customWidth="1"/>
    <col min="1525" max="1525" width="2.875" customWidth="1"/>
    <col min="1526" max="1526" width="77.625" customWidth="1"/>
    <col min="1527" max="1527" width="20.875" customWidth="1"/>
    <col min="1777" max="1777" width="2.875" customWidth="1"/>
    <col min="1778" max="1778" width="8.125" customWidth="1"/>
    <col min="1779" max="1779" width="8.75" customWidth="1"/>
    <col min="1780" max="1780" width="11" customWidth="1"/>
    <col min="1781" max="1781" width="2.875" customWidth="1"/>
    <col min="1782" max="1782" width="77.625" customWidth="1"/>
    <col min="1783" max="1783" width="20.875" customWidth="1"/>
    <col min="2033" max="2033" width="2.875" customWidth="1"/>
    <col min="2034" max="2034" width="8.125" customWidth="1"/>
    <col min="2035" max="2035" width="8.75" customWidth="1"/>
    <col min="2036" max="2036" width="11" customWidth="1"/>
    <col min="2037" max="2037" width="2.875" customWidth="1"/>
    <col min="2038" max="2038" width="77.625" customWidth="1"/>
    <col min="2039" max="2039" width="20.875" customWidth="1"/>
    <col min="2289" max="2289" width="2.875" customWidth="1"/>
    <col min="2290" max="2290" width="8.125" customWidth="1"/>
    <col min="2291" max="2291" width="8.75" customWidth="1"/>
    <col min="2292" max="2292" width="11" customWidth="1"/>
    <col min="2293" max="2293" width="2.875" customWidth="1"/>
    <col min="2294" max="2294" width="77.625" customWidth="1"/>
    <col min="2295" max="2295" width="20.875" customWidth="1"/>
    <col min="2545" max="2545" width="2.875" customWidth="1"/>
    <col min="2546" max="2546" width="8.125" customWidth="1"/>
    <col min="2547" max="2547" width="8.75" customWidth="1"/>
    <col min="2548" max="2548" width="11" customWidth="1"/>
    <col min="2549" max="2549" width="2.875" customWidth="1"/>
    <col min="2550" max="2550" width="77.625" customWidth="1"/>
    <col min="2551" max="2551" width="20.875" customWidth="1"/>
    <col min="2801" max="2801" width="2.875" customWidth="1"/>
    <col min="2802" max="2802" width="8.125" customWidth="1"/>
    <col min="2803" max="2803" width="8.75" customWidth="1"/>
    <col min="2804" max="2804" width="11" customWidth="1"/>
    <col min="2805" max="2805" width="2.875" customWidth="1"/>
    <col min="2806" max="2806" width="77.625" customWidth="1"/>
    <col min="2807" max="2807" width="20.875" customWidth="1"/>
    <col min="3057" max="3057" width="2.875" customWidth="1"/>
    <col min="3058" max="3058" width="8.125" customWidth="1"/>
    <col min="3059" max="3059" width="8.75" customWidth="1"/>
    <col min="3060" max="3060" width="11" customWidth="1"/>
    <col min="3061" max="3061" width="2.875" customWidth="1"/>
    <col min="3062" max="3062" width="77.625" customWidth="1"/>
    <col min="3063" max="3063" width="20.875" customWidth="1"/>
    <col min="3313" max="3313" width="2.875" customWidth="1"/>
    <col min="3314" max="3314" width="8.125" customWidth="1"/>
    <col min="3315" max="3315" width="8.75" customWidth="1"/>
    <col min="3316" max="3316" width="11" customWidth="1"/>
    <col min="3317" max="3317" width="2.875" customWidth="1"/>
    <col min="3318" max="3318" width="77.625" customWidth="1"/>
    <col min="3319" max="3319" width="20.875" customWidth="1"/>
    <col min="3569" max="3569" width="2.875" customWidth="1"/>
    <col min="3570" max="3570" width="8.125" customWidth="1"/>
    <col min="3571" max="3571" width="8.75" customWidth="1"/>
    <col min="3572" max="3572" width="11" customWidth="1"/>
    <col min="3573" max="3573" width="2.875" customWidth="1"/>
    <col min="3574" max="3574" width="77.625" customWidth="1"/>
    <col min="3575" max="3575" width="20.875" customWidth="1"/>
    <col min="3825" max="3825" width="2.875" customWidth="1"/>
    <col min="3826" max="3826" width="8.125" customWidth="1"/>
    <col min="3827" max="3827" width="8.75" customWidth="1"/>
    <col min="3828" max="3828" width="11" customWidth="1"/>
    <col min="3829" max="3829" width="2.875" customWidth="1"/>
    <col min="3830" max="3830" width="77.625" customWidth="1"/>
    <col min="3831" max="3831" width="20.875" customWidth="1"/>
    <col min="4081" max="4081" width="2.875" customWidth="1"/>
    <col min="4082" max="4082" width="8.125" customWidth="1"/>
    <col min="4083" max="4083" width="8.75" customWidth="1"/>
    <col min="4084" max="4084" width="11" customWidth="1"/>
    <col min="4085" max="4085" width="2.875" customWidth="1"/>
    <col min="4086" max="4086" width="77.625" customWidth="1"/>
    <col min="4087" max="4087" width="20.875" customWidth="1"/>
    <col min="4337" max="4337" width="2.875" customWidth="1"/>
    <col min="4338" max="4338" width="8.125" customWidth="1"/>
    <col min="4339" max="4339" width="8.75" customWidth="1"/>
    <col min="4340" max="4340" width="11" customWidth="1"/>
    <col min="4341" max="4341" width="2.875" customWidth="1"/>
    <col min="4342" max="4342" width="77.625" customWidth="1"/>
    <col min="4343" max="4343" width="20.875" customWidth="1"/>
    <col min="4593" max="4593" width="2.875" customWidth="1"/>
    <col min="4594" max="4594" width="8.125" customWidth="1"/>
    <col min="4595" max="4595" width="8.75" customWidth="1"/>
    <col min="4596" max="4596" width="11" customWidth="1"/>
    <col min="4597" max="4597" width="2.875" customWidth="1"/>
    <col min="4598" max="4598" width="77.625" customWidth="1"/>
    <col min="4599" max="4599" width="20.875" customWidth="1"/>
    <col min="4849" max="4849" width="2.875" customWidth="1"/>
    <col min="4850" max="4850" width="8.125" customWidth="1"/>
    <col min="4851" max="4851" width="8.75" customWidth="1"/>
    <col min="4852" max="4852" width="11" customWidth="1"/>
    <col min="4853" max="4853" width="2.875" customWidth="1"/>
    <col min="4854" max="4854" width="77.625" customWidth="1"/>
    <col min="4855" max="4855" width="20.875" customWidth="1"/>
    <col min="5105" max="5105" width="2.875" customWidth="1"/>
    <col min="5106" max="5106" width="8.125" customWidth="1"/>
    <col min="5107" max="5107" width="8.75" customWidth="1"/>
    <col min="5108" max="5108" width="11" customWidth="1"/>
    <col min="5109" max="5109" width="2.875" customWidth="1"/>
    <col min="5110" max="5110" width="77.625" customWidth="1"/>
    <col min="5111" max="5111" width="20.875" customWidth="1"/>
    <col min="5361" max="5361" width="2.875" customWidth="1"/>
    <col min="5362" max="5362" width="8.125" customWidth="1"/>
    <col min="5363" max="5363" width="8.75" customWidth="1"/>
    <col min="5364" max="5364" width="11" customWidth="1"/>
    <col min="5365" max="5365" width="2.875" customWidth="1"/>
    <col min="5366" max="5366" width="77.625" customWidth="1"/>
    <col min="5367" max="5367" width="20.875" customWidth="1"/>
    <col min="5617" max="5617" width="2.875" customWidth="1"/>
    <col min="5618" max="5618" width="8.125" customWidth="1"/>
    <col min="5619" max="5619" width="8.75" customWidth="1"/>
    <col min="5620" max="5620" width="11" customWidth="1"/>
    <col min="5621" max="5621" width="2.875" customWidth="1"/>
    <col min="5622" max="5622" width="77.625" customWidth="1"/>
    <col min="5623" max="5623" width="20.875" customWidth="1"/>
    <col min="5873" max="5873" width="2.875" customWidth="1"/>
    <col min="5874" max="5874" width="8.125" customWidth="1"/>
    <col min="5875" max="5875" width="8.75" customWidth="1"/>
    <col min="5876" max="5876" width="11" customWidth="1"/>
    <col min="5877" max="5877" width="2.875" customWidth="1"/>
    <col min="5878" max="5878" width="77.625" customWidth="1"/>
    <col min="5879" max="5879" width="20.875" customWidth="1"/>
    <col min="6129" max="6129" width="2.875" customWidth="1"/>
    <col min="6130" max="6130" width="8.125" customWidth="1"/>
    <col min="6131" max="6131" width="8.75" customWidth="1"/>
    <col min="6132" max="6132" width="11" customWidth="1"/>
    <col min="6133" max="6133" width="2.875" customWidth="1"/>
    <col min="6134" max="6134" width="77.625" customWidth="1"/>
    <col min="6135" max="6135" width="20.875" customWidth="1"/>
    <col min="6385" max="6385" width="2.875" customWidth="1"/>
    <col min="6386" max="6386" width="8.125" customWidth="1"/>
    <col min="6387" max="6387" width="8.75" customWidth="1"/>
    <col min="6388" max="6388" width="11" customWidth="1"/>
    <col min="6389" max="6389" width="2.875" customWidth="1"/>
    <col min="6390" max="6390" width="77.625" customWidth="1"/>
    <col min="6391" max="6391" width="20.875" customWidth="1"/>
    <col min="6641" max="6641" width="2.875" customWidth="1"/>
    <col min="6642" max="6642" width="8.125" customWidth="1"/>
    <col min="6643" max="6643" width="8.75" customWidth="1"/>
    <col min="6644" max="6644" width="11" customWidth="1"/>
    <col min="6645" max="6645" width="2.875" customWidth="1"/>
    <col min="6646" max="6646" width="77.625" customWidth="1"/>
    <col min="6647" max="6647" width="20.875" customWidth="1"/>
    <col min="6897" max="6897" width="2.875" customWidth="1"/>
    <col min="6898" max="6898" width="8.125" customWidth="1"/>
    <col min="6899" max="6899" width="8.75" customWidth="1"/>
    <col min="6900" max="6900" width="11" customWidth="1"/>
    <col min="6901" max="6901" width="2.875" customWidth="1"/>
    <col min="6902" max="6902" width="77.625" customWidth="1"/>
    <col min="6903" max="6903" width="20.875" customWidth="1"/>
    <col min="7153" max="7153" width="2.875" customWidth="1"/>
    <col min="7154" max="7154" width="8.125" customWidth="1"/>
    <col min="7155" max="7155" width="8.75" customWidth="1"/>
    <col min="7156" max="7156" width="11" customWidth="1"/>
    <col min="7157" max="7157" width="2.875" customWidth="1"/>
    <col min="7158" max="7158" width="77.625" customWidth="1"/>
    <col min="7159" max="7159" width="20.875" customWidth="1"/>
    <col min="7409" max="7409" width="2.875" customWidth="1"/>
    <col min="7410" max="7410" width="8.125" customWidth="1"/>
    <col min="7411" max="7411" width="8.75" customWidth="1"/>
    <col min="7412" max="7412" width="11" customWidth="1"/>
    <col min="7413" max="7413" width="2.875" customWidth="1"/>
    <col min="7414" max="7414" width="77.625" customWidth="1"/>
    <col min="7415" max="7415" width="20.875" customWidth="1"/>
    <col min="7665" max="7665" width="2.875" customWidth="1"/>
    <col min="7666" max="7666" width="8.125" customWidth="1"/>
    <col min="7667" max="7667" width="8.75" customWidth="1"/>
    <col min="7668" max="7668" width="11" customWidth="1"/>
    <col min="7669" max="7669" width="2.875" customWidth="1"/>
    <col min="7670" max="7670" width="77.625" customWidth="1"/>
    <col min="7671" max="7671" width="20.875" customWidth="1"/>
    <col min="7921" max="7921" width="2.875" customWidth="1"/>
    <col min="7922" max="7922" width="8.125" customWidth="1"/>
    <col min="7923" max="7923" width="8.75" customWidth="1"/>
    <col min="7924" max="7924" width="11" customWidth="1"/>
    <col min="7925" max="7925" width="2.875" customWidth="1"/>
    <col min="7926" max="7926" width="77.625" customWidth="1"/>
    <col min="7927" max="7927" width="20.875" customWidth="1"/>
    <col min="8177" max="8177" width="2.875" customWidth="1"/>
    <col min="8178" max="8178" width="8.125" customWidth="1"/>
    <col min="8179" max="8179" width="8.75" customWidth="1"/>
    <col min="8180" max="8180" width="11" customWidth="1"/>
    <col min="8181" max="8181" width="2.875" customWidth="1"/>
    <col min="8182" max="8182" width="77.625" customWidth="1"/>
    <col min="8183" max="8183" width="20.875" customWidth="1"/>
    <col min="8433" max="8433" width="2.875" customWidth="1"/>
    <col min="8434" max="8434" width="8.125" customWidth="1"/>
    <col min="8435" max="8435" width="8.75" customWidth="1"/>
    <col min="8436" max="8436" width="11" customWidth="1"/>
    <col min="8437" max="8437" width="2.875" customWidth="1"/>
    <col min="8438" max="8438" width="77.625" customWidth="1"/>
    <col min="8439" max="8439" width="20.875" customWidth="1"/>
    <col min="8689" max="8689" width="2.875" customWidth="1"/>
    <col min="8690" max="8690" width="8.125" customWidth="1"/>
    <col min="8691" max="8691" width="8.75" customWidth="1"/>
    <col min="8692" max="8692" width="11" customWidth="1"/>
    <col min="8693" max="8693" width="2.875" customWidth="1"/>
    <col min="8694" max="8694" width="77.625" customWidth="1"/>
    <col min="8695" max="8695" width="20.875" customWidth="1"/>
    <col min="8945" max="8945" width="2.875" customWidth="1"/>
    <col min="8946" max="8946" width="8.125" customWidth="1"/>
    <col min="8947" max="8947" width="8.75" customWidth="1"/>
    <col min="8948" max="8948" width="11" customWidth="1"/>
    <col min="8949" max="8949" width="2.875" customWidth="1"/>
    <col min="8950" max="8950" width="77.625" customWidth="1"/>
    <col min="8951" max="8951" width="20.875" customWidth="1"/>
    <col min="9201" max="9201" width="2.875" customWidth="1"/>
    <col min="9202" max="9202" width="8.125" customWidth="1"/>
    <col min="9203" max="9203" width="8.75" customWidth="1"/>
    <col min="9204" max="9204" width="11" customWidth="1"/>
    <col min="9205" max="9205" width="2.875" customWidth="1"/>
    <col min="9206" max="9206" width="77.625" customWidth="1"/>
    <col min="9207" max="9207" width="20.875" customWidth="1"/>
    <col min="9457" max="9457" width="2.875" customWidth="1"/>
    <col min="9458" max="9458" width="8.125" customWidth="1"/>
    <col min="9459" max="9459" width="8.75" customWidth="1"/>
    <col min="9460" max="9460" width="11" customWidth="1"/>
    <col min="9461" max="9461" width="2.875" customWidth="1"/>
    <col min="9462" max="9462" width="77.625" customWidth="1"/>
    <col min="9463" max="9463" width="20.875" customWidth="1"/>
    <col min="9713" max="9713" width="2.875" customWidth="1"/>
    <col min="9714" max="9714" width="8.125" customWidth="1"/>
    <col min="9715" max="9715" width="8.75" customWidth="1"/>
    <col min="9716" max="9716" width="11" customWidth="1"/>
    <col min="9717" max="9717" width="2.875" customWidth="1"/>
    <col min="9718" max="9718" width="77.625" customWidth="1"/>
    <col min="9719" max="9719" width="20.875" customWidth="1"/>
    <col min="9969" max="9969" width="2.875" customWidth="1"/>
    <col min="9970" max="9970" width="8.125" customWidth="1"/>
    <col min="9971" max="9971" width="8.75" customWidth="1"/>
    <col min="9972" max="9972" width="11" customWidth="1"/>
    <col min="9973" max="9973" width="2.875" customWidth="1"/>
    <col min="9974" max="9974" width="77.625" customWidth="1"/>
    <col min="9975" max="9975" width="20.875" customWidth="1"/>
    <col min="10225" max="10225" width="2.875" customWidth="1"/>
    <col min="10226" max="10226" width="8.125" customWidth="1"/>
    <col min="10227" max="10227" width="8.75" customWidth="1"/>
    <col min="10228" max="10228" width="11" customWidth="1"/>
    <col min="10229" max="10229" width="2.875" customWidth="1"/>
    <col min="10230" max="10230" width="77.625" customWidth="1"/>
    <col min="10231" max="10231" width="20.875" customWidth="1"/>
    <col min="10481" max="10481" width="2.875" customWidth="1"/>
    <col min="10482" max="10482" width="8.125" customWidth="1"/>
    <col min="10483" max="10483" width="8.75" customWidth="1"/>
    <col min="10484" max="10484" width="11" customWidth="1"/>
    <col min="10485" max="10485" width="2.875" customWidth="1"/>
    <col min="10486" max="10486" width="77.625" customWidth="1"/>
    <col min="10487" max="10487" width="20.875" customWidth="1"/>
    <col min="10737" max="10737" width="2.875" customWidth="1"/>
    <col min="10738" max="10738" width="8.125" customWidth="1"/>
    <col min="10739" max="10739" width="8.75" customWidth="1"/>
    <col min="10740" max="10740" width="11" customWidth="1"/>
    <col min="10741" max="10741" width="2.875" customWidth="1"/>
    <col min="10742" max="10742" width="77.625" customWidth="1"/>
    <col min="10743" max="10743" width="20.875" customWidth="1"/>
    <col min="10993" max="10993" width="2.875" customWidth="1"/>
    <col min="10994" max="10994" width="8.125" customWidth="1"/>
    <col min="10995" max="10995" width="8.75" customWidth="1"/>
    <col min="10996" max="10996" width="11" customWidth="1"/>
    <col min="10997" max="10997" width="2.875" customWidth="1"/>
    <col min="10998" max="10998" width="77.625" customWidth="1"/>
    <col min="10999" max="10999" width="20.875" customWidth="1"/>
    <col min="11249" max="11249" width="2.875" customWidth="1"/>
    <col min="11250" max="11250" width="8.125" customWidth="1"/>
    <col min="11251" max="11251" width="8.75" customWidth="1"/>
    <col min="11252" max="11252" width="11" customWidth="1"/>
    <col min="11253" max="11253" width="2.875" customWidth="1"/>
    <col min="11254" max="11254" width="77.625" customWidth="1"/>
    <col min="11255" max="11255" width="20.875" customWidth="1"/>
    <col min="11505" max="11505" width="2.875" customWidth="1"/>
    <col min="11506" max="11506" width="8.125" customWidth="1"/>
    <col min="11507" max="11507" width="8.75" customWidth="1"/>
    <col min="11508" max="11508" width="11" customWidth="1"/>
    <col min="11509" max="11509" width="2.875" customWidth="1"/>
    <col min="11510" max="11510" width="77.625" customWidth="1"/>
    <col min="11511" max="11511" width="20.875" customWidth="1"/>
    <col min="11761" max="11761" width="2.875" customWidth="1"/>
    <col min="11762" max="11762" width="8.125" customWidth="1"/>
    <col min="11763" max="11763" width="8.75" customWidth="1"/>
    <col min="11764" max="11764" width="11" customWidth="1"/>
    <col min="11765" max="11765" width="2.875" customWidth="1"/>
    <col min="11766" max="11766" width="77.625" customWidth="1"/>
    <col min="11767" max="11767" width="20.875" customWidth="1"/>
    <col min="12017" max="12017" width="2.875" customWidth="1"/>
    <col min="12018" max="12018" width="8.125" customWidth="1"/>
    <col min="12019" max="12019" width="8.75" customWidth="1"/>
    <col min="12020" max="12020" width="11" customWidth="1"/>
    <col min="12021" max="12021" width="2.875" customWidth="1"/>
    <col min="12022" max="12022" width="77.625" customWidth="1"/>
    <col min="12023" max="12023" width="20.875" customWidth="1"/>
    <col min="12273" max="12273" width="2.875" customWidth="1"/>
    <col min="12274" max="12274" width="8.125" customWidth="1"/>
    <col min="12275" max="12275" width="8.75" customWidth="1"/>
    <col min="12276" max="12276" width="11" customWidth="1"/>
    <col min="12277" max="12277" width="2.875" customWidth="1"/>
    <col min="12278" max="12278" width="77.625" customWidth="1"/>
    <col min="12279" max="12279" width="20.875" customWidth="1"/>
    <col min="12529" max="12529" width="2.875" customWidth="1"/>
    <col min="12530" max="12530" width="8.125" customWidth="1"/>
    <col min="12531" max="12531" width="8.75" customWidth="1"/>
    <col min="12532" max="12532" width="11" customWidth="1"/>
    <col min="12533" max="12533" width="2.875" customWidth="1"/>
    <col min="12534" max="12534" width="77.625" customWidth="1"/>
    <col min="12535" max="12535" width="20.875" customWidth="1"/>
    <col min="12785" max="12785" width="2.875" customWidth="1"/>
    <col min="12786" max="12786" width="8.125" customWidth="1"/>
    <col min="12787" max="12787" width="8.75" customWidth="1"/>
    <col min="12788" max="12788" width="11" customWidth="1"/>
    <col min="12789" max="12789" width="2.875" customWidth="1"/>
    <col min="12790" max="12790" width="77.625" customWidth="1"/>
    <col min="12791" max="12791" width="20.875" customWidth="1"/>
    <col min="13041" max="13041" width="2.875" customWidth="1"/>
    <col min="13042" max="13042" width="8.125" customWidth="1"/>
    <col min="13043" max="13043" width="8.75" customWidth="1"/>
    <col min="13044" max="13044" width="11" customWidth="1"/>
    <col min="13045" max="13045" width="2.875" customWidth="1"/>
    <col min="13046" max="13046" width="77.625" customWidth="1"/>
    <col min="13047" max="13047" width="20.875" customWidth="1"/>
    <col min="13297" max="13297" width="2.875" customWidth="1"/>
    <col min="13298" max="13298" width="8.125" customWidth="1"/>
    <col min="13299" max="13299" width="8.75" customWidth="1"/>
    <col min="13300" max="13300" width="11" customWidth="1"/>
    <col min="13301" max="13301" width="2.875" customWidth="1"/>
    <col min="13302" max="13302" width="77.625" customWidth="1"/>
    <col min="13303" max="13303" width="20.875" customWidth="1"/>
    <col min="13553" max="13553" width="2.875" customWidth="1"/>
    <col min="13554" max="13554" width="8.125" customWidth="1"/>
    <col min="13555" max="13555" width="8.75" customWidth="1"/>
    <col min="13556" max="13556" width="11" customWidth="1"/>
    <col min="13557" max="13557" width="2.875" customWidth="1"/>
    <col min="13558" max="13558" width="77.625" customWidth="1"/>
    <col min="13559" max="13559" width="20.875" customWidth="1"/>
    <col min="13809" max="13809" width="2.875" customWidth="1"/>
    <col min="13810" max="13810" width="8.125" customWidth="1"/>
    <col min="13811" max="13811" width="8.75" customWidth="1"/>
    <col min="13812" max="13812" width="11" customWidth="1"/>
    <col min="13813" max="13813" width="2.875" customWidth="1"/>
    <col min="13814" max="13814" width="77.625" customWidth="1"/>
    <col min="13815" max="13815" width="20.875" customWidth="1"/>
    <col min="14065" max="14065" width="2.875" customWidth="1"/>
    <col min="14066" max="14066" width="8.125" customWidth="1"/>
    <col min="14067" max="14067" width="8.75" customWidth="1"/>
    <col min="14068" max="14068" width="11" customWidth="1"/>
    <col min="14069" max="14069" width="2.875" customWidth="1"/>
    <col min="14070" max="14070" width="77.625" customWidth="1"/>
    <col min="14071" max="14071" width="20.875" customWidth="1"/>
    <col min="14321" max="14321" width="2.875" customWidth="1"/>
    <col min="14322" max="14322" width="8.125" customWidth="1"/>
    <col min="14323" max="14323" width="8.75" customWidth="1"/>
    <col min="14324" max="14324" width="11" customWidth="1"/>
    <col min="14325" max="14325" width="2.875" customWidth="1"/>
    <col min="14326" max="14326" width="77.625" customWidth="1"/>
    <col min="14327" max="14327" width="20.875" customWidth="1"/>
    <col min="14577" max="14577" width="2.875" customWidth="1"/>
    <col min="14578" max="14578" width="8.125" customWidth="1"/>
    <col min="14579" max="14579" width="8.75" customWidth="1"/>
    <col min="14580" max="14580" width="11" customWidth="1"/>
    <col min="14581" max="14581" width="2.875" customWidth="1"/>
    <col min="14582" max="14582" width="77.625" customWidth="1"/>
    <col min="14583" max="14583" width="20.875" customWidth="1"/>
    <col min="14833" max="14833" width="2.875" customWidth="1"/>
    <col min="14834" max="14834" width="8.125" customWidth="1"/>
    <col min="14835" max="14835" width="8.75" customWidth="1"/>
    <col min="14836" max="14836" width="11" customWidth="1"/>
    <col min="14837" max="14837" width="2.875" customWidth="1"/>
    <col min="14838" max="14838" width="77.625" customWidth="1"/>
    <col min="14839" max="14839" width="20.875" customWidth="1"/>
    <col min="15089" max="15089" width="2.875" customWidth="1"/>
    <col min="15090" max="15090" width="8.125" customWidth="1"/>
    <col min="15091" max="15091" width="8.75" customWidth="1"/>
    <col min="15092" max="15092" width="11" customWidth="1"/>
    <col min="15093" max="15093" width="2.875" customWidth="1"/>
    <col min="15094" max="15094" width="77.625" customWidth="1"/>
    <col min="15095" max="15095" width="20.875" customWidth="1"/>
    <col min="15345" max="15345" width="2.875" customWidth="1"/>
    <col min="15346" max="15346" width="8.125" customWidth="1"/>
    <col min="15347" max="15347" width="8.75" customWidth="1"/>
    <col min="15348" max="15348" width="11" customWidth="1"/>
    <col min="15349" max="15349" width="2.875" customWidth="1"/>
    <col min="15350" max="15350" width="77.625" customWidth="1"/>
    <col min="15351" max="15351" width="20.875" customWidth="1"/>
    <col min="15601" max="15601" width="2.875" customWidth="1"/>
    <col min="15602" max="15602" width="8.125" customWidth="1"/>
    <col min="15603" max="15603" width="8.75" customWidth="1"/>
    <col min="15604" max="15604" width="11" customWidth="1"/>
    <col min="15605" max="15605" width="2.875" customWidth="1"/>
    <col min="15606" max="15606" width="77.625" customWidth="1"/>
    <col min="15607" max="15607" width="20.875" customWidth="1"/>
    <col min="15857" max="15857" width="2.875" customWidth="1"/>
    <col min="15858" max="15858" width="8.125" customWidth="1"/>
    <col min="15859" max="15859" width="8.75" customWidth="1"/>
    <col min="15860" max="15860" width="11" customWidth="1"/>
    <col min="15861" max="15861" width="2.875" customWidth="1"/>
    <col min="15862" max="15862" width="77.625" customWidth="1"/>
    <col min="15863" max="15863" width="20.875" customWidth="1"/>
    <col min="16113" max="16113" width="2.875" customWidth="1"/>
    <col min="16114" max="16114" width="8.125" customWidth="1"/>
    <col min="16115" max="16115" width="8.75" customWidth="1"/>
    <col min="16116" max="16116" width="11" customWidth="1"/>
    <col min="16117" max="16117" width="2.875" customWidth="1"/>
    <col min="16118" max="16118" width="77.625" customWidth="1"/>
    <col min="16119" max="16119" width="20.875" customWidth="1"/>
  </cols>
  <sheetData>
    <row r="1" spans="1:404" ht="22.5" customHeight="1" x14ac:dyDescent="0.4">
      <c r="A1" s="35" t="s">
        <v>90</v>
      </c>
      <c r="B1" s="36"/>
      <c r="C1" s="37"/>
      <c r="D1" s="37"/>
      <c r="E1" s="37"/>
      <c r="F1" s="36"/>
      <c r="G1" s="149"/>
      <c r="H1" s="36"/>
      <c r="I1" s="36"/>
      <c r="J1" s="36"/>
      <c r="K1" s="251"/>
      <c r="L1" s="36"/>
      <c r="M1" s="36"/>
      <c r="N1" s="352"/>
      <c r="O1" s="596"/>
      <c r="P1" s="638"/>
      <c r="Q1" s="352"/>
      <c r="R1" s="352"/>
      <c r="S1" s="352"/>
    </row>
    <row r="2" spans="1:404" ht="22.5" customHeight="1" x14ac:dyDescent="0.4">
      <c r="A2" s="35" t="s">
        <v>318</v>
      </c>
      <c r="B2" s="36"/>
      <c r="C2" s="37"/>
      <c r="D2" s="37"/>
      <c r="E2" s="37"/>
      <c r="F2" s="36"/>
      <c r="G2" s="149"/>
      <c r="H2" s="36"/>
      <c r="I2" s="36"/>
      <c r="J2" s="149"/>
      <c r="K2" s="251"/>
      <c r="L2" s="36"/>
      <c r="M2" s="36"/>
      <c r="N2" s="352"/>
      <c r="O2" s="596"/>
      <c r="P2" s="638"/>
      <c r="Q2" s="352"/>
      <c r="R2" s="352"/>
      <c r="S2" s="352"/>
    </row>
    <row r="3" spans="1:404" ht="22.5" customHeight="1" x14ac:dyDescent="0.4">
      <c r="A3" s="35" t="s">
        <v>745</v>
      </c>
      <c r="B3" s="36"/>
      <c r="C3" s="37"/>
      <c r="D3" s="37"/>
      <c r="E3" s="37"/>
      <c r="F3" s="36"/>
      <c r="G3" s="149"/>
      <c r="H3" s="36"/>
      <c r="I3" s="36"/>
      <c r="J3" s="36"/>
      <c r="K3" s="251"/>
      <c r="L3" s="36"/>
      <c r="M3" s="36"/>
      <c r="N3" s="352"/>
      <c r="O3" s="596"/>
      <c r="P3" s="638"/>
      <c r="Q3" s="352"/>
      <c r="R3" s="352"/>
      <c r="S3" s="352"/>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c r="IY3" s="8"/>
      <c r="IZ3" s="8"/>
      <c r="JA3" s="8"/>
      <c r="JB3" s="8"/>
      <c r="JC3" s="8"/>
      <c r="JD3" s="8"/>
      <c r="JE3" s="8"/>
      <c r="JF3" s="8"/>
      <c r="JG3" s="8"/>
      <c r="JH3" s="8"/>
      <c r="JI3" s="8"/>
      <c r="JJ3" s="8"/>
      <c r="JK3" s="8"/>
      <c r="JL3" s="8"/>
      <c r="JM3" s="8"/>
      <c r="JN3" s="8"/>
      <c r="JO3" s="8"/>
      <c r="JP3" s="8"/>
      <c r="JQ3" s="8"/>
      <c r="JR3" s="8"/>
      <c r="JS3" s="8"/>
      <c r="JT3" s="8"/>
      <c r="JU3" s="8"/>
      <c r="JV3" s="8"/>
      <c r="JW3" s="8"/>
      <c r="JX3" s="8"/>
      <c r="JY3" s="8"/>
      <c r="JZ3" s="8"/>
      <c r="KA3" s="8"/>
      <c r="KB3" s="8"/>
      <c r="KC3" s="8"/>
      <c r="KD3" s="8"/>
      <c r="KE3" s="8"/>
      <c r="KF3" s="8"/>
      <c r="KG3" s="8"/>
      <c r="KH3" s="8"/>
      <c r="KI3" s="8"/>
      <c r="KJ3" s="8"/>
      <c r="KK3" s="8"/>
      <c r="KL3" s="8"/>
      <c r="KM3" s="8"/>
      <c r="KN3" s="8"/>
      <c r="KO3" s="8"/>
      <c r="KP3" s="8"/>
      <c r="KQ3" s="8"/>
      <c r="KR3" s="8"/>
      <c r="KS3" s="8"/>
      <c r="KT3" s="8"/>
      <c r="KU3" s="8"/>
      <c r="KV3" s="8"/>
      <c r="KW3" s="8"/>
      <c r="KX3" s="8"/>
      <c r="KY3" s="8"/>
      <c r="KZ3" s="8"/>
      <c r="LA3" s="8"/>
      <c r="LB3" s="8"/>
      <c r="LC3" s="8"/>
      <c r="LD3" s="8"/>
      <c r="LE3" s="8"/>
      <c r="LF3" s="8"/>
      <c r="LG3" s="8"/>
      <c r="LH3" s="8"/>
      <c r="LI3" s="8"/>
      <c r="LJ3" s="8"/>
      <c r="LK3" s="8"/>
      <c r="LL3" s="8"/>
      <c r="LM3" s="8"/>
      <c r="LN3" s="8"/>
      <c r="LO3" s="8"/>
      <c r="LP3" s="8"/>
      <c r="LQ3" s="8"/>
      <c r="LR3" s="8"/>
      <c r="LS3" s="8"/>
      <c r="LT3" s="8"/>
      <c r="LU3" s="8"/>
      <c r="LV3" s="8"/>
      <c r="LW3" s="8"/>
      <c r="LX3" s="8"/>
      <c r="LY3" s="8"/>
      <c r="LZ3" s="8"/>
      <c r="MA3" s="8"/>
      <c r="MB3" s="8"/>
      <c r="MC3" s="8"/>
      <c r="MD3" s="8"/>
      <c r="ME3" s="8"/>
      <c r="MF3" s="8"/>
      <c r="MG3" s="8"/>
      <c r="MH3" s="8"/>
      <c r="MI3" s="8"/>
      <c r="MJ3" s="8"/>
      <c r="MK3" s="8"/>
      <c r="ML3" s="8"/>
      <c r="MM3" s="8"/>
      <c r="MN3" s="8"/>
      <c r="MO3" s="8"/>
      <c r="MP3" s="8"/>
      <c r="MQ3" s="8"/>
      <c r="MR3" s="8"/>
      <c r="MS3" s="8"/>
      <c r="MT3" s="8"/>
      <c r="MU3" s="8"/>
      <c r="MV3" s="8"/>
      <c r="MW3" s="8"/>
      <c r="MX3" s="8"/>
      <c r="MY3" s="8"/>
      <c r="MZ3" s="8"/>
      <c r="NA3" s="8"/>
      <c r="NB3" s="8"/>
      <c r="NC3" s="8"/>
      <c r="ND3" s="8"/>
      <c r="NE3" s="8"/>
      <c r="NF3" s="8"/>
      <c r="NG3" s="8"/>
      <c r="NH3" s="8"/>
      <c r="NI3" s="8"/>
      <c r="NJ3" s="8"/>
      <c r="NK3" s="8"/>
      <c r="NL3" s="8"/>
      <c r="NM3" s="8"/>
      <c r="NN3" s="8"/>
      <c r="NO3" s="8"/>
      <c r="NP3" s="8"/>
      <c r="NQ3" s="8"/>
      <c r="NR3" s="8"/>
      <c r="NS3" s="8"/>
      <c r="NT3" s="8"/>
      <c r="NU3" s="8"/>
      <c r="NV3" s="8"/>
      <c r="NW3" s="8"/>
      <c r="NX3" s="8"/>
      <c r="NY3" s="8"/>
      <c r="NZ3" s="8"/>
      <c r="OA3" s="8"/>
      <c r="OB3" s="8"/>
      <c r="OC3" s="8"/>
      <c r="OD3" s="8"/>
      <c r="OE3" s="8"/>
      <c r="OF3" s="8"/>
      <c r="OG3" s="8"/>
      <c r="OH3" s="8"/>
      <c r="OI3" s="8"/>
      <c r="OJ3" s="8"/>
      <c r="OK3" s="8"/>
      <c r="OL3" s="8"/>
      <c r="OM3" s="8"/>
      <c r="ON3" s="8"/>
    </row>
    <row r="4" spans="1:404" ht="22.5" customHeight="1" x14ac:dyDescent="0.4">
      <c r="A4" s="35"/>
      <c r="B4" s="36"/>
      <c r="C4" s="37"/>
      <c r="D4" s="37"/>
      <c r="E4" s="37"/>
      <c r="F4" s="36"/>
      <c r="G4" s="149"/>
      <c r="H4" s="36"/>
      <c r="I4" s="36"/>
      <c r="J4" s="36"/>
      <c r="K4" s="251"/>
      <c r="L4" s="36"/>
      <c r="M4" s="36"/>
      <c r="N4" s="352"/>
      <c r="O4" s="596"/>
      <c r="P4" s="638"/>
      <c r="Q4" s="352"/>
      <c r="R4" s="352"/>
      <c r="S4" s="352"/>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row>
    <row r="5" spans="1:404" s="39" customFormat="1" ht="5.25" customHeight="1" thickBot="1" x14ac:dyDescent="0.3">
      <c r="A5" s="38"/>
      <c r="B5" s="38"/>
      <c r="C5" s="38"/>
      <c r="D5" s="38"/>
      <c r="E5" s="38"/>
      <c r="F5" s="38"/>
      <c r="G5" s="150"/>
      <c r="K5" s="252"/>
      <c r="N5" s="353"/>
      <c r="O5" s="534"/>
      <c r="P5" s="535"/>
      <c r="Q5" s="353"/>
      <c r="R5" s="353"/>
      <c r="S5" s="353"/>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c r="IY5" s="8"/>
      <c r="IZ5" s="8"/>
      <c r="JA5" s="8"/>
      <c r="JB5" s="8"/>
      <c r="JC5" s="8"/>
      <c r="JD5" s="8"/>
      <c r="JE5" s="8"/>
      <c r="JF5" s="8"/>
      <c r="JG5" s="8"/>
      <c r="JH5" s="8"/>
      <c r="JI5" s="8"/>
      <c r="JJ5" s="8"/>
      <c r="JK5" s="8"/>
      <c r="JL5" s="8"/>
      <c r="JM5" s="8"/>
      <c r="JN5" s="8"/>
      <c r="JO5" s="8"/>
      <c r="JP5" s="8"/>
      <c r="JQ5" s="8"/>
      <c r="JR5" s="8"/>
      <c r="JS5" s="8"/>
      <c r="JT5" s="8"/>
      <c r="JU5" s="8"/>
      <c r="JV5" s="8"/>
      <c r="JW5" s="8"/>
      <c r="JX5" s="8"/>
      <c r="JY5" s="8"/>
      <c r="JZ5" s="8"/>
      <c r="KA5" s="8"/>
      <c r="KB5" s="8"/>
      <c r="KC5" s="8"/>
      <c r="KD5" s="8"/>
      <c r="KE5" s="8"/>
      <c r="KF5" s="8"/>
      <c r="KG5" s="8"/>
      <c r="KH5" s="8"/>
      <c r="KI5" s="8"/>
      <c r="KJ5" s="8"/>
      <c r="KK5" s="8"/>
      <c r="KL5" s="8"/>
      <c r="KM5" s="8"/>
      <c r="KN5" s="8"/>
      <c r="KO5" s="8"/>
      <c r="KP5" s="8"/>
      <c r="KQ5" s="8"/>
      <c r="KR5" s="8"/>
      <c r="KS5" s="8"/>
      <c r="KT5" s="8"/>
      <c r="KU5" s="8"/>
      <c r="KV5" s="8"/>
      <c r="KW5" s="8"/>
      <c r="KX5" s="8"/>
      <c r="KY5" s="8"/>
      <c r="KZ5" s="8"/>
      <c r="LA5" s="8"/>
      <c r="LB5" s="8"/>
      <c r="LC5" s="8"/>
      <c r="LD5" s="8"/>
      <c r="LE5" s="8"/>
      <c r="LF5" s="8"/>
      <c r="LG5" s="8"/>
      <c r="LH5" s="8"/>
      <c r="LI5" s="8"/>
      <c r="LJ5" s="8"/>
      <c r="LK5" s="8"/>
      <c r="LL5" s="8"/>
      <c r="LM5" s="8"/>
      <c r="LN5" s="8"/>
      <c r="LO5" s="8"/>
      <c r="LP5" s="8"/>
      <c r="LQ5" s="8"/>
      <c r="LR5" s="8"/>
      <c r="LS5" s="8"/>
      <c r="LT5" s="8"/>
      <c r="LU5" s="8"/>
      <c r="LV5" s="8"/>
      <c r="LW5" s="8"/>
      <c r="LX5" s="8"/>
      <c r="LY5" s="8"/>
      <c r="LZ5" s="8"/>
      <c r="MA5" s="8"/>
      <c r="MB5" s="8"/>
      <c r="MC5" s="8"/>
      <c r="MD5" s="8"/>
      <c r="ME5" s="8"/>
      <c r="MF5" s="8"/>
      <c r="MG5" s="8"/>
      <c r="MH5" s="8"/>
      <c r="MI5" s="8"/>
      <c r="MJ5" s="8"/>
      <c r="MK5" s="8"/>
      <c r="ML5" s="8"/>
      <c r="MM5" s="8"/>
      <c r="MN5" s="8"/>
      <c r="MO5" s="8"/>
      <c r="MP5" s="8"/>
      <c r="MQ5" s="8"/>
      <c r="MR5" s="8"/>
      <c r="MS5" s="8"/>
      <c r="MT5" s="8"/>
      <c r="MU5" s="8"/>
      <c r="MV5" s="8"/>
      <c r="MW5" s="8"/>
      <c r="MX5" s="8"/>
      <c r="MY5" s="8"/>
      <c r="MZ5" s="8"/>
      <c r="NA5" s="8"/>
      <c r="NB5" s="8"/>
      <c r="NC5" s="8"/>
      <c r="ND5" s="8"/>
      <c r="NE5" s="8"/>
      <c r="NF5" s="8"/>
      <c r="NG5" s="8"/>
      <c r="NH5" s="8"/>
      <c r="NI5" s="8"/>
      <c r="NJ5" s="8"/>
      <c r="NK5" s="8"/>
      <c r="NL5" s="8"/>
      <c r="NM5" s="8"/>
      <c r="NN5" s="8"/>
      <c r="NO5" s="8"/>
      <c r="NP5" s="8"/>
      <c r="NQ5" s="8"/>
      <c r="NR5" s="8"/>
      <c r="NS5" s="8"/>
      <c r="NT5" s="8"/>
      <c r="NU5" s="8"/>
      <c r="NV5" s="8"/>
      <c r="NW5" s="8"/>
      <c r="NX5" s="8"/>
      <c r="NY5" s="8"/>
      <c r="NZ5" s="8"/>
      <c r="OA5" s="8"/>
      <c r="OB5" s="8"/>
      <c r="OC5" s="8"/>
      <c r="OD5" s="8"/>
      <c r="OE5" s="8"/>
      <c r="OF5" s="8"/>
      <c r="OG5" s="8"/>
      <c r="OH5" s="8"/>
      <c r="OI5" s="8"/>
      <c r="OJ5" s="8"/>
      <c r="OK5" s="8"/>
      <c r="OL5" s="8"/>
      <c r="OM5" s="8"/>
      <c r="ON5" s="8"/>
    </row>
    <row r="6" spans="1:404" s="42" customFormat="1" ht="24.75" customHeight="1" thickTop="1" thickBot="1" x14ac:dyDescent="0.3">
      <c r="A6" s="40" t="s">
        <v>104</v>
      </c>
      <c r="B6" s="40"/>
      <c r="C6" s="40"/>
      <c r="D6" s="40"/>
      <c r="E6" s="40"/>
      <c r="F6" s="40"/>
      <c r="G6" s="790" t="s">
        <v>46</v>
      </c>
      <c r="H6" s="790"/>
      <c r="I6" s="790"/>
      <c r="J6" s="790"/>
      <c r="K6" s="410"/>
      <c r="L6" s="274" t="s">
        <v>176</v>
      </c>
      <c r="M6" s="274" t="s">
        <v>188</v>
      </c>
      <c r="N6" s="410" t="s">
        <v>175</v>
      </c>
      <c r="O6" s="537"/>
      <c r="P6" s="538"/>
      <c r="Q6" s="354"/>
      <c r="R6" s="354"/>
      <c r="S6" s="354"/>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row>
    <row r="7" spans="1:404" s="44" customFormat="1" ht="8.25" customHeight="1" thickTop="1" x14ac:dyDescent="0.25">
      <c r="A7" s="43"/>
      <c r="B7" s="43"/>
      <c r="C7" s="43"/>
      <c r="D7" s="43"/>
      <c r="E7" s="43"/>
      <c r="F7" s="43"/>
      <c r="G7" s="151"/>
      <c r="K7" s="253"/>
      <c r="N7" s="354"/>
      <c r="O7" s="472"/>
      <c r="P7" s="538"/>
      <c r="Q7" s="354"/>
      <c r="R7" s="354"/>
      <c r="S7" s="354"/>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row>
    <row r="8" spans="1:404" ht="21" thickBot="1" x14ac:dyDescent="0.35">
      <c r="A8" s="45"/>
      <c r="B8" s="98" t="s">
        <v>96</v>
      </c>
      <c r="C8" s="98"/>
      <c r="D8" s="98"/>
      <c r="E8" s="98"/>
      <c r="F8" s="98"/>
      <c r="G8" s="187">
        <f>'February''25 Financial Position'!H8</f>
        <v>45716</v>
      </c>
      <c r="H8" s="187">
        <v>45657</v>
      </c>
      <c r="I8" s="224"/>
      <c r="J8" s="187">
        <f>G8-365-1</f>
        <v>45350</v>
      </c>
      <c r="K8" s="187">
        <v>45351</v>
      </c>
      <c r="L8" s="861" t="s">
        <v>714</v>
      </c>
      <c r="M8" s="861"/>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row>
    <row r="9" spans="1:404" s="44" customFormat="1" ht="20.25" x14ac:dyDescent="0.25">
      <c r="A9" s="43"/>
      <c r="B9" s="43"/>
      <c r="C9" s="47" t="s">
        <v>97</v>
      </c>
      <c r="D9" s="47"/>
      <c r="E9" s="47"/>
      <c r="F9" s="43"/>
      <c r="G9" s="160">
        <v>73451.58</v>
      </c>
      <c r="H9" s="160">
        <v>515246.9</v>
      </c>
      <c r="I9" s="160"/>
      <c r="J9" s="160">
        <v>568663.27</v>
      </c>
      <c r="K9" s="160">
        <v>107361.07</v>
      </c>
      <c r="L9" s="261">
        <f>G9-K9</f>
        <v>-33909.490000000005</v>
      </c>
      <c r="M9" s="694">
        <f>(G9-K9)/K9</f>
        <v>-0.31584530593817667</v>
      </c>
      <c r="N9" s="182" t="s">
        <v>734</v>
      </c>
      <c r="O9" s="472">
        <f>L9/K9</f>
        <v>-0.31584530593817667</v>
      </c>
      <c r="P9" s="635" t="s">
        <v>630</v>
      </c>
      <c r="Q9" s="354" t="s">
        <v>626</v>
      </c>
      <c r="R9" s="354"/>
      <c r="S9" s="354"/>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row>
    <row r="10" spans="1:404" s="44" customFormat="1" ht="20.25" x14ac:dyDescent="0.25">
      <c r="A10" s="43"/>
      <c r="B10" s="43"/>
      <c r="C10" s="47" t="s">
        <v>146</v>
      </c>
      <c r="D10" s="47"/>
      <c r="E10" s="47"/>
      <c r="F10" s="43"/>
      <c r="G10" s="151">
        <v>32500</v>
      </c>
      <c r="H10" s="151">
        <v>187799</v>
      </c>
      <c r="I10" s="151"/>
      <c r="J10" s="151">
        <v>107813</v>
      </c>
      <c r="K10" s="151">
        <v>21896.39</v>
      </c>
      <c r="L10" s="182">
        <f>G10-K10</f>
        <v>10603.61</v>
      </c>
      <c r="M10" s="694">
        <f>(G10-K10)/K10</f>
        <v>0.48426293101282908</v>
      </c>
      <c r="N10" s="182" t="s">
        <v>735</v>
      </c>
      <c r="O10" s="472"/>
      <c r="P10" s="635" t="s">
        <v>631</v>
      </c>
      <c r="Q10" s="354"/>
      <c r="R10" s="354"/>
      <c r="S10" s="354"/>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row>
    <row r="11" spans="1:404" s="44" customFormat="1" ht="20.25" hidden="1" x14ac:dyDescent="0.25">
      <c r="A11" s="43"/>
      <c r="B11" s="43"/>
      <c r="C11" s="47" t="s">
        <v>435</v>
      </c>
      <c r="D11" s="47"/>
      <c r="E11" s="47"/>
      <c r="F11" s="43"/>
      <c r="G11" s="151">
        <v>0</v>
      </c>
      <c r="H11" s="151">
        <v>0</v>
      </c>
      <c r="I11" s="151"/>
      <c r="J11" s="151">
        <v>0</v>
      </c>
      <c r="K11" s="151">
        <v>0</v>
      </c>
      <c r="L11" s="182">
        <f>G11-J11</f>
        <v>0</v>
      </c>
      <c r="M11" s="694" t="e">
        <f t="shared" ref="M11" si="0">(G11-H11)/H11</f>
        <v>#DIV/0!</v>
      </c>
      <c r="N11" s="182"/>
      <c r="O11" s="472"/>
      <c r="P11" s="635"/>
      <c r="Q11" s="354"/>
      <c r="R11" s="354"/>
      <c r="S11" s="354"/>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row>
    <row r="12" spans="1:404" s="44" customFormat="1" ht="20.25" x14ac:dyDescent="0.25">
      <c r="A12" s="43"/>
      <c r="B12" s="43"/>
      <c r="C12" s="47" t="s">
        <v>174</v>
      </c>
      <c r="D12" s="47"/>
      <c r="E12" s="47"/>
      <c r="F12" s="43"/>
      <c r="G12" s="151">
        <f>'February''25 Revenues &amp; Expenses'!J15+'February''25 Revenues &amp; Expenses'!J16-14709.15-10761.38</f>
        <v>14462.709999999997</v>
      </c>
      <c r="H12" s="151">
        <v>39117.93</v>
      </c>
      <c r="I12" s="151"/>
      <c r="J12" s="151">
        <f>35411+939</f>
        <v>36350</v>
      </c>
      <c r="K12" s="151">
        <v>5698.68</v>
      </c>
      <c r="L12" s="182">
        <f>G12-K12</f>
        <v>8764.029999999997</v>
      </c>
      <c r="M12" s="694">
        <f>(G12-K12)/K12</f>
        <v>1.5379052692904316</v>
      </c>
      <c r="N12" s="182" t="s">
        <v>736</v>
      </c>
      <c r="O12" s="472"/>
      <c r="P12" s="635" t="s">
        <v>632</v>
      </c>
      <c r="Q12" s="354"/>
      <c r="R12" s="354"/>
      <c r="S12" s="354"/>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row>
    <row r="13" spans="1:404" s="44" customFormat="1" ht="20.25" x14ac:dyDescent="0.25">
      <c r="A13" s="43"/>
      <c r="B13" s="43"/>
      <c r="C13" s="47" t="s">
        <v>509</v>
      </c>
      <c r="D13" s="47"/>
      <c r="E13" s="47"/>
      <c r="F13" s="43"/>
      <c r="G13" s="151">
        <v>0</v>
      </c>
      <c r="H13" s="151">
        <v>5000</v>
      </c>
      <c r="I13" s="151"/>
      <c r="J13" s="151">
        <v>0</v>
      </c>
      <c r="K13" s="151"/>
      <c r="L13" s="182">
        <f>G13-K13</f>
        <v>0</v>
      </c>
      <c r="M13" s="694"/>
      <c r="N13" s="182"/>
      <c r="O13" s="472"/>
      <c r="P13" s="635" t="s">
        <v>632</v>
      </c>
      <c r="Q13" s="354"/>
      <c r="R13" s="354"/>
      <c r="S13" s="354"/>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row>
    <row r="14" spans="1:404" s="44" customFormat="1" ht="20.25" x14ac:dyDescent="0.2">
      <c r="A14" s="43"/>
      <c r="B14" s="43"/>
      <c r="C14" s="47" t="s">
        <v>98</v>
      </c>
      <c r="D14" s="47"/>
      <c r="E14" s="47"/>
      <c r="F14" s="43"/>
      <c r="G14" s="151"/>
      <c r="H14" s="151"/>
      <c r="I14" s="151"/>
      <c r="J14" s="151"/>
      <c r="K14" s="151"/>
      <c r="L14" s="182"/>
      <c r="M14" s="694"/>
      <c r="N14" s="182"/>
      <c r="O14" s="472"/>
      <c r="P14" s="635" t="s">
        <v>632</v>
      </c>
      <c r="Q14" s="354"/>
      <c r="R14" s="354"/>
      <c r="S14" s="354"/>
    </row>
    <row r="15" spans="1:404" s="44" customFormat="1" ht="20.25" x14ac:dyDescent="0.2">
      <c r="A15" s="43"/>
      <c r="B15" s="43"/>
      <c r="D15" s="47" t="s">
        <v>135</v>
      </c>
      <c r="E15" s="47"/>
      <c r="F15" s="43"/>
      <c r="G15" s="151">
        <v>32129</v>
      </c>
      <c r="H15" s="151">
        <v>217141.06</v>
      </c>
      <c r="I15" s="151"/>
      <c r="J15" s="151">
        <v>176537.37</v>
      </c>
      <c r="K15" s="151">
        <v>33435</v>
      </c>
      <c r="L15" s="182">
        <f t="shared" ref="L15:L29" si="1">G15-K15</f>
        <v>-1306</v>
      </c>
      <c r="M15" s="694">
        <f>(G15-K15)/K15</f>
        <v>-3.9060864363690745E-2</v>
      </c>
      <c r="N15" s="182"/>
      <c r="O15" s="472"/>
      <c r="P15" s="635" t="s">
        <v>632</v>
      </c>
      <c r="Q15" s="354" t="s">
        <v>628</v>
      </c>
      <c r="R15" s="354"/>
      <c r="S15" s="354"/>
    </row>
    <row r="16" spans="1:404" s="44" customFormat="1" ht="20.25" x14ac:dyDescent="0.2">
      <c r="A16" s="43"/>
      <c r="B16" s="43"/>
      <c r="D16" s="47" t="s">
        <v>154</v>
      </c>
      <c r="E16" s="47"/>
      <c r="F16" s="43"/>
      <c r="G16" s="151">
        <f>1500*2</f>
        <v>3000</v>
      </c>
      <c r="H16" s="151">
        <v>18000</v>
      </c>
      <c r="I16" s="151"/>
      <c r="J16" s="151">
        <f>G16</f>
        <v>3000</v>
      </c>
      <c r="K16" s="151">
        <v>3000</v>
      </c>
      <c r="L16" s="182">
        <f t="shared" si="1"/>
        <v>0</v>
      </c>
      <c r="M16" s="694">
        <f>(G16-K16)/K16</f>
        <v>0</v>
      </c>
      <c r="N16" s="182"/>
      <c r="O16" s="472"/>
      <c r="P16" s="635" t="s">
        <v>632</v>
      </c>
      <c r="Q16" s="354"/>
      <c r="R16" s="354"/>
      <c r="S16" s="354"/>
    </row>
    <row r="17" spans="1:19" s="44" customFormat="1" ht="20.25" x14ac:dyDescent="0.2">
      <c r="A17" s="43"/>
      <c r="B17" s="43"/>
      <c r="D17" s="47" t="s">
        <v>383</v>
      </c>
      <c r="E17" s="47"/>
      <c r="F17" s="43"/>
      <c r="G17" s="151">
        <v>0</v>
      </c>
      <c r="H17" s="151">
        <v>5000</v>
      </c>
      <c r="I17" s="151"/>
      <c r="J17" s="151">
        <v>29596</v>
      </c>
      <c r="K17" s="151">
        <v>0</v>
      </c>
      <c r="L17" s="182">
        <f t="shared" si="1"/>
        <v>0</v>
      </c>
      <c r="M17" s="694"/>
      <c r="N17" s="182"/>
      <c r="O17" s="472"/>
      <c r="P17" s="635" t="s">
        <v>632</v>
      </c>
      <c r="Q17" s="354"/>
      <c r="R17" s="354"/>
      <c r="S17" s="354"/>
    </row>
    <row r="18" spans="1:19" s="44" customFormat="1" ht="20.25" x14ac:dyDescent="0.2">
      <c r="A18" s="43"/>
      <c r="B18" s="43"/>
      <c r="C18" s="47" t="s">
        <v>99</v>
      </c>
      <c r="D18" s="47"/>
      <c r="E18" s="47"/>
      <c r="F18" s="43"/>
      <c r="G18" s="337">
        <f>'February''25 Revenues &amp; Expenses'!K56</f>
        <v>2223</v>
      </c>
      <c r="H18" s="151">
        <v>20091.96</v>
      </c>
      <c r="I18" s="151"/>
      <c r="J18" s="151">
        <v>19841</v>
      </c>
      <c r="K18" s="151">
        <v>2714</v>
      </c>
      <c r="L18" s="182">
        <f t="shared" si="1"/>
        <v>-491</v>
      </c>
      <c r="M18" s="694">
        <f t="shared" ref="M18:M29" si="2">(G18-K18)/K18</f>
        <v>-0.18091378039793662</v>
      </c>
      <c r="N18" s="182" t="s">
        <v>716</v>
      </c>
      <c r="O18" s="472"/>
      <c r="P18" s="635" t="s">
        <v>633</v>
      </c>
      <c r="Q18" s="354"/>
      <c r="R18" s="355"/>
      <c r="S18" s="354"/>
    </row>
    <row r="19" spans="1:19" s="44" customFormat="1" ht="20.25" x14ac:dyDescent="0.2">
      <c r="A19" s="43"/>
      <c r="B19" s="43"/>
      <c r="C19" s="47" t="s">
        <v>156</v>
      </c>
      <c r="D19" s="47"/>
      <c r="E19" s="47"/>
      <c r="F19" s="43"/>
      <c r="G19" s="151">
        <f>4600+788.2+1200</f>
        <v>6588.2</v>
      </c>
      <c r="H19" s="151">
        <v>1798</v>
      </c>
      <c r="I19" s="151"/>
      <c r="J19" s="151">
        <v>373</v>
      </c>
      <c r="K19" s="151">
        <v>50</v>
      </c>
      <c r="L19" s="182">
        <f t="shared" si="1"/>
        <v>6538.2</v>
      </c>
      <c r="M19" s="694">
        <f t="shared" si="2"/>
        <v>130.76400000000001</v>
      </c>
      <c r="N19" s="182" t="s">
        <v>737</v>
      </c>
      <c r="O19" s="472"/>
      <c r="P19" s="635" t="s">
        <v>633</v>
      </c>
      <c r="Q19" s="354"/>
      <c r="R19" s="355"/>
      <c r="S19" s="354"/>
    </row>
    <row r="20" spans="1:19" s="44" customFormat="1" ht="20.25" x14ac:dyDescent="0.2">
      <c r="A20" s="43"/>
      <c r="B20" s="43"/>
      <c r="C20" s="47" t="s">
        <v>590</v>
      </c>
      <c r="D20" s="47"/>
      <c r="E20" s="47"/>
      <c r="F20" s="43"/>
      <c r="G20" s="151">
        <v>0</v>
      </c>
      <c r="H20" s="151">
        <v>27123.62</v>
      </c>
      <c r="I20" s="151"/>
      <c r="J20" s="151">
        <v>20568</v>
      </c>
      <c r="K20" s="151">
        <v>15586.98</v>
      </c>
      <c r="L20" s="182">
        <f t="shared" si="1"/>
        <v>-15586.98</v>
      </c>
      <c r="M20" s="694">
        <f t="shared" si="2"/>
        <v>-1</v>
      </c>
      <c r="N20" s="182"/>
      <c r="O20" s="472"/>
      <c r="P20" s="635" t="s">
        <v>633</v>
      </c>
      <c r="Q20" s="354"/>
      <c r="R20" s="355"/>
      <c r="S20" s="354"/>
    </row>
    <row r="21" spans="1:19" s="44" customFormat="1" ht="20.25" x14ac:dyDescent="0.2">
      <c r="A21" s="43"/>
      <c r="B21" s="43"/>
      <c r="C21" s="47" t="s">
        <v>106</v>
      </c>
      <c r="D21" s="47"/>
      <c r="E21" s="47"/>
      <c r="F21" s="43"/>
      <c r="G21" s="151">
        <v>1545.88</v>
      </c>
      <c r="H21" s="151">
        <v>6424.91</v>
      </c>
      <c r="I21" s="151"/>
      <c r="J21" s="151">
        <v>406.48</v>
      </c>
      <c r="K21" s="151">
        <v>125.05</v>
      </c>
      <c r="L21" s="182">
        <f t="shared" si="1"/>
        <v>1420.8300000000002</v>
      </c>
      <c r="M21" s="694">
        <f t="shared" si="2"/>
        <v>11.362095161935228</v>
      </c>
      <c r="N21" s="182" t="s">
        <v>717</v>
      </c>
      <c r="O21" s="472"/>
      <c r="P21" s="635" t="s">
        <v>634</v>
      </c>
      <c r="Q21" s="354"/>
      <c r="R21" s="354"/>
      <c r="S21" s="354"/>
    </row>
    <row r="22" spans="1:19" s="44" customFormat="1" ht="20.25" x14ac:dyDescent="0.2">
      <c r="A22" s="43"/>
      <c r="B22" s="43"/>
      <c r="C22" s="47" t="s">
        <v>230</v>
      </c>
      <c r="D22" s="47"/>
      <c r="E22" s="47"/>
      <c r="F22" s="43"/>
      <c r="G22" s="151">
        <f>591.74-1214.63</f>
        <v>-622.8900000000001</v>
      </c>
      <c r="H22" s="151">
        <v>33020.949999999997</v>
      </c>
      <c r="I22" s="151"/>
      <c r="J22" s="151">
        <v>3308</v>
      </c>
      <c r="K22" s="151">
        <v>447.13</v>
      </c>
      <c r="L22" s="182">
        <f t="shared" si="1"/>
        <v>-1070.02</v>
      </c>
      <c r="M22" s="694">
        <f t="shared" si="2"/>
        <v>-2.3930847851855166</v>
      </c>
      <c r="N22" s="182" t="s">
        <v>718</v>
      </c>
      <c r="O22" s="472"/>
      <c r="P22" s="635" t="s">
        <v>635</v>
      </c>
      <c r="Q22" s="354"/>
      <c r="R22" s="355">
        <f>1215-623</f>
        <v>592</v>
      </c>
      <c r="S22" s="354"/>
    </row>
    <row r="23" spans="1:19" s="44" customFormat="1" ht="20.25" x14ac:dyDescent="0.2">
      <c r="A23" s="43"/>
      <c r="B23" s="43"/>
      <c r="C23" s="47" t="s">
        <v>292</v>
      </c>
      <c r="D23" s="47"/>
      <c r="E23" s="47"/>
      <c r="F23" s="43"/>
      <c r="G23" s="151">
        <v>16286.01</v>
      </c>
      <c r="H23" s="151">
        <v>18047.73</v>
      </c>
      <c r="I23" s="151"/>
      <c r="J23" s="151">
        <v>272.41000000000003</v>
      </c>
      <c r="K23" s="151">
        <v>14369.43</v>
      </c>
      <c r="L23" s="182">
        <f t="shared" si="1"/>
        <v>1916.58</v>
      </c>
      <c r="M23" s="694">
        <f t="shared" si="2"/>
        <v>0.13337898580528246</v>
      </c>
      <c r="N23" s="182" t="s">
        <v>719</v>
      </c>
      <c r="O23" s="472"/>
      <c r="P23" s="635" t="s">
        <v>636</v>
      </c>
      <c r="Q23" s="355"/>
      <c r="R23" s="354"/>
      <c r="S23" s="355"/>
    </row>
    <row r="24" spans="1:19" s="44" customFormat="1" ht="20.25" x14ac:dyDescent="0.2">
      <c r="A24" s="43"/>
      <c r="B24" s="43"/>
      <c r="C24" s="47" t="s">
        <v>622</v>
      </c>
      <c r="D24" s="47"/>
      <c r="E24" s="47"/>
      <c r="F24" s="43"/>
      <c r="G24" s="151">
        <v>35125.99</v>
      </c>
      <c r="H24" s="151">
        <v>378467.94</v>
      </c>
      <c r="I24" s="151"/>
      <c r="J24" s="151">
        <v>138836.76</v>
      </c>
      <c r="K24" s="151">
        <v>55484.05</v>
      </c>
      <c r="L24" s="182">
        <f t="shared" si="1"/>
        <v>-20358.060000000005</v>
      </c>
      <c r="M24" s="694">
        <f t="shared" si="2"/>
        <v>-0.36691733930742265</v>
      </c>
      <c r="N24" s="182" t="s">
        <v>720</v>
      </c>
      <c r="O24" s="472"/>
      <c r="P24" s="635" t="s">
        <v>637</v>
      </c>
      <c r="Q24" s="354" t="s">
        <v>625</v>
      </c>
      <c r="R24" s="355"/>
      <c r="S24" s="354"/>
    </row>
    <row r="25" spans="1:19" s="44" customFormat="1" ht="20.25" x14ac:dyDescent="0.2">
      <c r="A25" s="43"/>
      <c r="B25" s="43"/>
      <c r="C25" s="47" t="s">
        <v>141</v>
      </c>
      <c r="D25" s="47"/>
      <c r="E25" s="47"/>
      <c r="F25" s="43"/>
      <c r="G25" s="151"/>
      <c r="H25" s="151">
        <v>9209.89</v>
      </c>
      <c r="I25" s="151"/>
      <c r="J25" s="151">
        <v>9773</v>
      </c>
      <c r="K25" s="151">
        <v>655.09</v>
      </c>
      <c r="L25" s="182">
        <f t="shared" si="1"/>
        <v>-655.09</v>
      </c>
      <c r="M25" s="694">
        <f t="shared" si="2"/>
        <v>-1</v>
      </c>
      <c r="N25" s="182" t="s">
        <v>608</v>
      </c>
      <c r="O25" s="472"/>
      <c r="P25" s="635" t="s">
        <v>638</v>
      </c>
      <c r="R25" s="355"/>
      <c r="S25" s="354"/>
    </row>
    <row r="26" spans="1:19" s="44" customFormat="1" ht="21" thickBot="1" x14ac:dyDescent="0.25">
      <c r="A26" s="43"/>
      <c r="B26" s="43"/>
      <c r="C26" s="47" t="s">
        <v>105</v>
      </c>
      <c r="D26" s="47"/>
      <c r="E26" s="47"/>
      <c r="F26" s="43"/>
      <c r="G26" s="158">
        <v>8790</v>
      </c>
      <c r="H26" s="158">
        <v>52740</v>
      </c>
      <c r="I26" s="151"/>
      <c r="J26" s="158">
        <f>G26</f>
        <v>8790</v>
      </c>
      <c r="K26" s="158">
        <v>8790</v>
      </c>
      <c r="L26" s="158">
        <f t="shared" si="1"/>
        <v>0</v>
      </c>
      <c r="M26" s="696">
        <f t="shared" si="2"/>
        <v>0</v>
      </c>
      <c r="N26" s="182"/>
      <c r="O26" s="472"/>
      <c r="P26" s="635" t="s">
        <v>639</v>
      </c>
      <c r="Q26" s="354"/>
      <c r="R26" s="354"/>
      <c r="S26" s="354"/>
    </row>
    <row r="27" spans="1:19" s="44" customFormat="1" ht="20.25" x14ac:dyDescent="0.2">
      <c r="A27" s="43"/>
      <c r="B27" s="43"/>
      <c r="C27" s="47"/>
      <c r="D27" s="43" t="s">
        <v>101</v>
      </c>
      <c r="E27" s="47"/>
      <c r="F27" s="43"/>
      <c r="G27" s="151">
        <f>SUM(G9:G26)</f>
        <v>225479.47999999998</v>
      </c>
      <c r="H27" s="151">
        <f>SUM(H9:H26)</f>
        <v>1534229.89</v>
      </c>
      <c r="I27" s="151"/>
      <c r="J27" s="151">
        <f>SUM(J9:J26)</f>
        <v>1124128.29</v>
      </c>
      <c r="K27" s="151">
        <f>SUM(K9:K26)</f>
        <v>269612.87</v>
      </c>
      <c r="L27" s="151">
        <f t="shared" si="1"/>
        <v>-44133.390000000014</v>
      </c>
      <c r="M27" s="694">
        <f t="shared" si="2"/>
        <v>-0.1636917035896692</v>
      </c>
      <c r="N27" s="182" t="s">
        <v>730</v>
      </c>
      <c r="O27" s="472"/>
      <c r="P27" s="635"/>
      <c r="Q27" s="354"/>
      <c r="R27" s="354"/>
      <c r="S27" s="354"/>
    </row>
    <row r="28" spans="1:19" s="44" customFormat="1" ht="21" thickBot="1" x14ac:dyDescent="0.25">
      <c r="A28" s="43"/>
      <c r="B28" s="43"/>
      <c r="C28" s="43" t="s">
        <v>102</v>
      </c>
      <c r="D28" s="47"/>
      <c r="E28" s="47"/>
      <c r="F28" s="43"/>
      <c r="G28" s="158">
        <v>12782.32</v>
      </c>
      <c r="H28" s="158">
        <v>83159.789999999994</v>
      </c>
      <c r="I28" s="151"/>
      <c r="J28" s="158">
        <v>110392</v>
      </c>
      <c r="K28" s="158">
        <v>13839</v>
      </c>
      <c r="L28" s="158">
        <f t="shared" si="1"/>
        <v>-1056.6800000000003</v>
      </c>
      <c r="M28" s="696">
        <f t="shared" si="2"/>
        <v>-7.6355227978900236E-2</v>
      </c>
      <c r="N28" s="182"/>
      <c r="O28" s="472"/>
      <c r="P28" s="635"/>
      <c r="Q28" s="354"/>
      <c r="R28" s="356"/>
      <c r="S28" s="354"/>
    </row>
    <row r="29" spans="1:19" s="44" customFormat="1" ht="20.25" x14ac:dyDescent="0.2">
      <c r="A29" s="43"/>
      <c r="B29" s="43"/>
      <c r="C29" s="47"/>
      <c r="D29" s="43" t="s">
        <v>103</v>
      </c>
      <c r="E29" s="47"/>
      <c r="F29" s="43"/>
      <c r="G29" s="151">
        <f>SUM(G27:G28)</f>
        <v>238261.8</v>
      </c>
      <c r="H29" s="151">
        <f>SUM(H27:H28)</f>
        <v>1617389.68</v>
      </c>
      <c r="I29" s="151"/>
      <c r="J29" s="151">
        <f>SUM(J27:J28)</f>
        <v>1234520.29</v>
      </c>
      <c r="K29" s="151">
        <f>SUM(K27:K28)</f>
        <v>283451.87</v>
      </c>
      <c r="L29" s="182">
        <f t="shared" si="1"/>
        <v>-45190.070000000007</v>
      </c>
      <c r="M29" s="694">
        <f t="shared" si="2"/>
        <v>-0.15942766579737155</v>
      </c>
      <c r="N29" s="182"/>
      <c r="O29" s="472"/>
      <c r="P29" s="635">
        <v>283451.46999999997</v>
      </c>
      <c r="Q29" s="356">
        <f>K29-P29</f>
        <v>0.40000000002328306</v>
      </c>
      <c r="R29" s="356">
        <v>239476.43</v>
      </c>
      <c r="S29" s="355">
        <f>G29-R29</f>
        <v>-1214.6300000000047</v>
      </c>
    </row>
    <row r="30" spans="1:19" s="44" customFormat="1" ht="6" customHeight="1" x14ac:dyDescent="0.2">
      <c r="A30" s="43"/>
      <c r="B30" s="43"/>
      <c r="C30" s="47"/>
      <c r="D30" s="43"/>
      <c r="E30" s="47"/>
      <c r="F30" s="43"/>
      <c r="G30" s="151"/>
      <c r="H30" s="151"/>
      <c r="I30" s="151"/>
      <c r="J30" s="151"/>
      <c r="K30" s="253"/>
      <c r="L30" s="266"/>
      <c r="M30" s="341"/>
      <c r="N30" s="182"/>
      <c r="O30" s="472"/>
      <c r="P30" s="635"/>
      <c r="Q30" s="354"/>
      <c r="R30" s="354"/>
      <c r="S30" s="354"/>
    </row>
    <row r="31" spans="1:19" s="44" customFormat="1" ht="21" thickBot="1" x14ac:dyDescent="0.35">
      <c r="A31" s="43"/>
      <c r="B31" s="55" t="s">
        <v>107</v>
      </c>
      <c r="C31" s="55"/>
      <c r="D31" s="55"/>
      <c r="E31" s="55"/>
      <c r="F31" s="55"/>
      <c r="G31" s="158"/>
      <c r="H31" s="158"/>
      <c r="J31" s="158"/>
      <c r="K31" s="268"/>
      <c r="L31" s="268"/>
      <c r="M31" s="342"/>
      <c r="N31" s="181"/>
      <c r="O31" s="472"/>
      <c r="P31" s="635"/>
      <c r="Q31" s="354"/>
      <c r="R31" s="354"/>
      <c r="S31" s="354"/>
    </row>
    <row r="32" spans="1:19" s="44" customFormat="1" ht="20.25" x14ac:dyDescent="0.2">
      <c r="A32" s="43"/>
      <c r="B32" s="43"/>
      <c r="C32" s="47" t="s">
        <v>108</v>
      </c>
      <c r="D32" s="47"/>
      <c r="E32" s="47"/>
      <c r="F32" s="47"/>
      <c r="G32" s="151">
        <v>140714.41</v>
      </c>
      <c r="H32" s="151">
        <v>911233.23</v>
      </c>
      <c r="I32" s="182"/>
      <c r="J32" s="151">
        <v>777947</v>
      </c>
      <c r="K32" s="151">
        <v>141371.62</v>
      </c>
      <c r="L32" s="182">
        <f>G32-K32</f>
        <v>-657.20999999999185</v>
      </c>
      <c r="M32" s="694">
        <f>(G32-K32)/K32</f>
        <v>-4.6488114092488424E-3</v>
      </c>
      <c r="N32" s="182"/>
      <c r="O32" s="472"/>
      <c r="P32" s="635"/>
      <c r="Q32" s="354"/>
      <c r="R32" s="354"/>
      <c r="S32" s="354"/>
    </row>
    <row r="33" spans="1:15" s="44" customFormat="1" ht="20.25" x14ac:dyDescent="0.2">
      <c r="A33" s="43"/>
      <c r="B33" s="43"/>
      <c r="C33" s="47" t="s">
        <v>109</v>
      </c>
      <c r="D33" s="47"/>
      <c r="E33" s="47"/>
      <c r="F33" s="47"/>
      <c r="G33" s="151">
        <v>23579.66</v>
      </c>
      <c r="H33" s="151">
        <v>211494.11</v>
      </c>
      <c r="I33" s="182"/>
      <c r="J33" s="151">
        <v>143772</v>
      </c>
      <c r="K33" s="151">
        <v>34051</v>
      </c>
      <c r="L33" s="182">
        <f>G33-K33</f>
        <v>-10471.34</v>
      </c>
      <c r="M33" s="694">
        <f>(G33-K33)/K33</f>
        <v>-0.30751930927138704</v>
      </c>
      <c r="N33" s="182"/>
      <c r="O33" s="472"/>
    </row>
    <row r="34" spans="1:15" s="44" customFormat="1" ht="20.25" x14ac:dyDescent="0.2">
      <c r="A34" s="43"/>
      <c r="B34" s="43"/>
      <c r="C34" s="47" t="s">
        <v>123</v>
      </c>
      <c r="D34" s="47"/>
      <c r="E34" s="47"/>
      <c r="F34" s="47"/>
      <c r="G34" s="151">
        <f>1035+325</f>
        <v>1360</v>
      </c>
      <c r="H34" s="151">
        <f>7233.4+20475.5</f>
        <v>27708.9</v>
      </c>
      <c r="I34" s="151"/>
      <c r="J34" s="151">
        <f>12954.59+52280</f>
        <v>65234.59</v>
      </c>
      <c r="K34" s="151">
        <f>2025+7500</f>
        <v>9525</v>
      </c>
      <c r="L34" s="182">
        <f>G34-K34</f>
        <v>-8165</v>
      </c>
      <c r="M34" s="694">
        <f>(G34-K34)/K34</f>
        <v>-0.85721784776902887</v>
      </c>
      <c r="N34" s="182" t="s">
        <v>721</v>
      </c>
      <c r="O34" s="472"/>
    </row>
    <row r="35" spans="1:15" s="44" customFormat="1" ht="20.25" x14ac:dyDescent="0.2">
      <c r="A35" s="43"/>
      <c r="B35" s="43"/>
      <c r="C35" s="47" t="s">
        <v>161</v>
      </c>
      <c r="D35" s="47"/>
      <c r="E35" s="47"/>
      <c r="F35" s="47"/>
      <c r="G35" s="151">
        <v>5000</v>
      </c>
      <c r="H35" s="151">
        <v>24775</v>
      </c>
      <c r="I35" s="182"/>
      <c r="J35" s="151">
        <v>7175</v>
      </c>
      <c r="K35" s="151">
        <v>13500</v>
      </c>
      <c r="L35" s="182">
        <f>G35-K35</f>
        <v>-8500</v>
      </c>
      <c r="M35" s="694">
        <f>(G35-K35)/K35</f>
        <v>-0.62962962962962965</v>
      </c>
      <c r="N35" s="182" t="s">
        <v>722</v>
      </c>
      <c r="O35" s="472"/>
    </row>
    <row r="36" spans="1:15" s="44" customFormat="1" ht="20.25" x14ac:dyDescent="0.2">
      <c r="A36" s="43"/>
      <c r="B36" s="43"/>
      <c r="C36" s="47" t="s">
        <v>122</v>
      </c>
      <c r="D36" s="47"/>
      <c r="E36" s="47"/>
      <c r="F36" s="47"/>
      <c r="G36" s="151">
        <v>7579</v>
      </c>
      <c r="H36" s="151">
        <f>53776.59+2250-58.77</f>
        <v>55967.82</v>
      </c>
      <c r="I36" s="151"/>
      <c r="J36" s="151">
        <v>23914.75</v>
      </c>
      <c r="K36" s="151">
        <f>11159.71-47.98-22.29</f>
        <v>11089.439999999999</v>
      </c>
      <c r="L36" s="182">
        <f t="shared" ref="L36:L53" si="3">G36-K36</f>
        <v>-3510.4399999999987</v>
      </c>
      <c r="M36" s="694">
        <f t="shared" ref="M36:M53" si="4">(G36-K36)/K36</f>
        <v>-0.31655701279776066</v>
      </c>
      <c r="N36" s="182" t="s">
        <v>723</v>
      </c>
      <c r="O36" s="472"/>
    </row>
    <row r="37" spans="1:15" s="44" customFormat="1" ht="20.25" x14ac:dyDescent="0.2">
      <c r="A37" s="43"/>
      <c r="B37" s="43"/>
      <c r="C37" s="47" t="s">
        <v>117</v>
      </c>
      <c r="D37" s="47"/>
      <c r="E37" s="47"/>
      <c r="F37" s="47"/>
      <c r="G37" s="151">
        <v>676.5</v>
      </c>
      <c r="H37" s="151">
        <v>1081.9000000000001</v>
      </c>
      <c r="I37" s="182"/>
      <c r="J37" s="151">
        <v>1065</v>
      </c>
      <c r="K37" s="151">
        <v>283</v>
      </c>
      <c r="L37" s="182">
        <f t="shared" si="3"/>
        <v>393.5</v>
      </c>
      <c r="M37" s="694">
        <f t="shared" si="4"/>
        <v>1.3904593639575973</v>
      </c>
      <c r="N37" s="182" t="s">
        <v>724</v>
      </c>
      <c r="O37" s="472"/>
    </row>
    <row r="38" spans="1:15" s="44" customFormat="1" ht="20.25" x14ac:dyDescent="0.2">
      <c r="A38" s="43"/>
      <c r="B38" s="43"/>
      <c r="C38" s="47" t="s">
        <v>119</v>
      </c>
      <c r="D38" s="47"/>
      <c r="E38" s="47"/>
      <c r="F38" s="47"/>
      <c r="G38" s="151">
        <v>5071.75</v>
      </c>
      <c r="H38" s="151">
        <v>27058</v>
      </c>
      <c r="I38" s="151"/>
      <c r="J38" s="151">
        <v>19509</v>
      </c>
      <c r="K38" s="151">
        <v>4298</v>
      </c>
      <c r="L38" s="182">
        <f t="shared" si="3"/>
        <v>773.75</v>
      </c>
      <c r="M38" s="694">
        <f>(G38-K38)/K38</f>
        <v>0.18002559329920895</v>
      </c>
      <c r="N38" s="182" t="s">
        <v>725</v>
      </c>
      <c r="O38" s="472"/>
    </row>
    <row r="39" spans="1:15" s="44" customFormat="1" ht="20.25" x14ac:dyDescent="0.2">
      <c r="A39" s="43"/>
      <c r="B39" s="43"/>
      <c r="C39" s="792" t="s">
        <v>311</v>
      </c>
      <c r="D39" s="792"/>
      <c r="E39" s="792"/>
      <c r="F39" s="792"/>
      <c r="G39" s="151"/>
      <c r="H39" s="151">
        <v>651.5</v>
      </c>
      <c r="I39" s="182"/>
      <c r="J39" s="151">
        <v>409.5</v>
      </c>
      <c r="K39" s="151">
        <v>98</v>
      </c>
      <c r="L39" s="182">
        <f t="shared" si="3"/>
        <v>-98</v>
      </c>
      <c r="M39" s="694">
        <f t="shared" si="4"/>
        <v>-1</v>
      </c>
      <c r="N39" s="182"/>
      <c r="O39" s="472"/>
    </row>
    <row r="40" spans="1:15" s="44" customFormat="1" ht="20.25" x14ac:dyDescent="0.2">
      <c r="A40" s="43"/>
      <c r="B40" s="43"/>
      <c r="C40" s="47" t="s">
        <v>115</v>
      </c>
      <c r="D40" s="47"/>
      <c r="E40" s="47"/>
      <c r="F40" s="47"/>
      <c r="G40" s="337">
        <f>2070.12+1177.82</f>
        <v>3247.9399999999996</v>
      </c>
      <c r="H40" s="151">
        <f>16296+82+10057.7</f>
        <v>26435.7</v>
      </c>
      <c r="I40" s="182"/>
      <c r="J40" s="151">
        <f>29864+16343+5.56</f>
        <v>46212.56</v>
      </c>
      <c r="K40" s="151">
        <f>2541.52+1646.3</f>
        <v>4187.82</v>
      </c>
      <c r="L40" s="182">
        <f t="shared" si="3"/>
        <v>-939.88000000000011</v>
      </c>
      <c r="M40" s="694">
        <f t="shared" si="4"/>
        <v>-0.22443180461433399</v>
      </c>
      <c r="N40" s="182" t="s">
        <v>726</v>
      </c>
      <c r="O40" s="472"/>
    </row>
    <row r="41" spans="1:15" s="44" customFormat="1" ht="20.25" x14ac:dyDescent="0.2">
      <c r="A41" s="43"/>
      <c r="B41" s="43"/>
      <c r="C41" s="47" t="s">
        <v>118</v>
      </c>
      <c r="D41" s="47"/>
      <c r="E41" s="47"/>
      <c r="F41" s="47"/>
      <c r="G41" s="151">
        <v>4204.32</v>
      </c>
      <c r="H41" s="151">
        <v>26136</v>
      </c>
      <c r="I41" s="183"/>
      <c r="J41" s="151">
        <v>24851</v>
      </c>
      <c r="K41" s="151">
        <v>4102.96</v>
      </c>
      <c r="L41" s="182">
        <f t="shared" si="3"/>
        <v>101.35999999999967</v>
      </c>
      <c r="M41" s="694">
        <f t="shared" si="4"/>
        <v>2.4704116052800824E-2</v>
      </c>
      <c r="N41" s="182"/>
      <c r="O41" s="472"/>
    </row>
    <row r="42" spans="1:15" s="44" customFormat="1" ht="20.25" x14ac:dyDescent="0.2">
      <c r="A42" s="43"/>
      <c r="B42" s="43"/>
      <c r="C42" s="47" t="s">
        <v>113</v>
      </c>
      <c r="D42" s="47"/>
      <c r="E42" s="47"/>
      <c r="F42" s="47"/>
      <c r="G42" s="151">
        <v>722.07</v>
      </c>
      <c r="H42" s="151">
        <v>3891.69</v>
      </c>
      <c r="I42" s="182"/>
      <c r="J42" s="151">
        <v>4907</v>
      </c>
      <c r="K42" s="151">
        <v>871.65</v>
      </c>
      <c r="L42" s="182">
        <f t="shared" si="3"/>
        <v>-149.57999999999993</v>
      </c>
      <c r="M42" s="694">
        <f t="shared" si="4"/>
        <v>-0.17160557563242118</v>
      </c>
      <c r="N42" s="182"/>
      <c r="O42" s="472"/>
    </row>
    <row r="43" spans="1:15" s="44" customFormat="1" ht="20.25" x14ac:dyDescent="0.2">
      <c r="A43" s="43"/>
      <c r="B43" s="43"/>
      <c r="C43" s="47" t="s">
        <v>116</v>
      </c>
      <c r="D43" s="47"/>
      <c r="E43" s="47"/>
      <c r="F43" s="47"/>
      <c r="G43" s="151">
        <v>848.16</v>
      </c>
      <c r="H43" s="151">
        <v>5356.36</v>
      </c>
      <c r="I43" s="182"/>
      <c r="J43" s="151">
        <v>5073</v>
      </c>
      <c r="K43" s="151">
        <v>831.48</v>
      </c>
      <c r="L43" s="182">
        <f t="shared" si="3"/>
        <v>16.67999999999995</v>
      </c>
      <c r="M43" s="694">
        <f t="shared" si="4"/>
        <v>2.0060614807331446E-2</v>
      </c>
      <c r="N43" s="182"/>
      <c r="O43" s="472"/>
    </row>
    <row r="44" spans="1:15" s="44" customFormat="1" ht="20.25" x14ac:dyDescent="0.2">
      <c r="A44" s="43"/>
      <c r="B44" s="43"/>
      <c r="C44" s="47" t="s">
        <v>112</v>
      </c>
      <c r="D44" s="47"/>
      <c r="E44" s="47"/>
      <c r="F44" s="47"/>
      <c r="G44" s="151">
        <v>593.99</v>
      </c>
      <c r="H44" s="151">
        <v>3328.5</v>
      </c>
      <c r="I44" s="182"/>
      <c r="J44" s="151">
        <v>2828.9</v>
      </c>
      <c r="K44" s="151">
        <v>633</v>
      </c>
      <c r="L44" s="182">
        <f t="shared" si="3"/>
        <v>-39.009999999999991</v>
      </c>
      <c r="M44" s="694">
        <f t="shared" si="4"/>
        <v>-6.162717219589256E-2</v>
      </c>
      <c r="N44" s="182"/>
      <c r="O44" s="472"/>
    </row>
    <row r="45" spans="1:15" s="44" customFormat="1" ht="20.25" x14ac:dyDescent="0.2">
      <c r="A45" s="43"/>
      <c r="B45" s="43"/>
      <c r="C45" s="47" t="s">
        <v>114</v>
      </c>
      <c r="D45" s="47"/>
      <c r="E45" s="47"/>
      <c r="F45" s="47"/>
      <c r="G45" s="151"/>
      <c r="H45" s="151">
        <v>2260.62</v>
      </c>
      <c r="I45" s="182"/>
      <c r="J45" s="151">
        <v>7663.4560000000001</v>
      </c>
      <c r="K45" s="151"/>
      <c r="L45" s="182">
        <f t="shared" si="3"/>
        <v>0</v>
      </c>
      <c r="M45" s="694"/>
      <c r="N45" s="182"/>
      <c r="O45" s="472"/>
    </row>
    <row r="46" spans="1:15" s="44" customFormat="1" ht="20.25" x14ac:dyDescent="0.2">
      <c r="A46" s="43"/>
      <c r="B46" s="43"/>
      <c r="C46" s="47" t="s">
        <v>110</v>
      </c>
      <c r="D46" s="47"/>
      <c r="E46" s="47"/>
      <c r="F46" s="47"/>
      <c r="G46" s="151">
        <v>300</v>
      </c>
      <c r="H46" s="151">
        <f>150*12</f>
        <v>1800</v>
      </c>
      <c r="I46" s="182"/>
      <c r="J46" s="151">
        <f>G46</f>
        <v>300</v>
      </c>
      <c r="K46" s="151">
        <v>300</v>
      </c>
      <c r="L46" s="182">
        <f t="shared" si="3"/>
        <v>0</v>
      </c>
      <c r="M46" s="694">
        <f t="shared" si="4"/>
        <v>0</v>
      </c>
      <c r="N46" s="182"/>
      <c r="O46" s="472"/>
    </row>
    <row r="47" spans="1:15" s="44" customFormat="1" ht="20.25" x14ac:dyDescent="0.2">
      <c r="A47" s="43"/>
      <c r="B47" s="43"/>
      <c r="C47" s="47" t="s">
        <v>100</v>
      </c>
      <c r="D47" s="47"/>
      <c r="E47" s="47"/>
      <c r="F47" s="47"/>
      <c r="G47" s="151">
        <f>G26</f>
        <v>8790</v>
      </c>
      <c r="H47" s="151">
        <f>H26</f>
        <v>52740</v>
      </c>
      <c r="I47" s="182"/>
      <c r="J47" s="151">
        <f>J26</f>
        <v>8790</v>
      </c>
      <c r="K47" s="151">
        <f>K26</f>
        <v>8790</v>
      </c>
      <c r="L47" s="182">
        <f t="shared" si="3"/>
        <v>0</v>
      </c>
      <c r="M47" s="694">
        <f t="shared" si="4"/>
        <v>0</v>
      </c>
      <c r="N47" s="182"/>
      <c r="O47" s="472"/>
    </row>
    <row r="48" spans="1:15" s="44" customFormat="1" ht="20.25" x14ac:dyDescent="0.2">
      <c r="A48" s="43"/>
      <c r="B48" s="43"/>
      <c r="C48" s="47" t="s">
        <v>120</v>
      </c>
      <c r="D48" s="47"/>
      <c r="E48" s="47"/>
      <c r="F48" s="47"/>
      <c r="G48" s="151"/>
      <c r="H48" s="151">
        <v>397.29</v>
      </c>
      <c r="I48" s="151"/>
      <c r="J48" s="151">
        <v>5900.51</v>
      </c>
      <c r="K48" s="151">
        <v>22.29</v>
      </c>
      <c r="L48" s="182">
        <f t="shared" si="3"/>
        <v>-22.29</v>
      </c>
      <c r="M48" s="694">
        <f t="shared" si="4"/>
        <v>-1</v>
      </c>
      <c r="N48" s="182"/>
      <c r="O48" s="472"/>
    </row>
    <row r="49" spans="1:18" s="44" customFormat="1" ht="20.25" x14ac:dyDescent="0.2">
      <c r="A49" s="43"/>
      <c r="B49" s="43"/>
      <c r="C49" s="47" t="s">
        <v>126</v>
      </c>
      <c r="D49" s="47"/>
      <c r="E49" s="47"/>
      <c r="F49" s="47"/>
      <c r="G49" s="151">
        <v>1100</v>
      </c>
      <c r="H49" s="151">
        <v>1006.17</v>
      </c>
      <c r="I49" s="151"/>
      <c r="J49" s="151">
        <v>3315.48</v>
      </c>
      <c r="K49" s="151">
        <v>348.5</v>
      </c>
      <c r="L49" s="182">
        <f t="shared" si="3"/>
        <v>751.5</v>
      </c>
      <c r="M49" s="694">
        <f t="shared" si="4"/>
        <v>2.1563845050215207</v>
      </c>
      <c r="N49" s="182" t="s">
        <v>727</v>
      </c>
      <c r="O49" s="472"/>
      <c r="P49" s="538"/>
      <c r="Q49" s="354"/>
      <c r="R49" s="354"/>
    </row>
    <row r="50" spans="1:18" s="44" customFormat="1" ht="20.25" x14ac:dyDescent="0.2">
      <c r="A50" s="43"/>
      <c r="B50" s="43"/>
      <c r="C50" s="47" t="s">
        <v>111</v>
      </c>
      <c r="D50" s="47"/>
      <c r="E50" s="47"/>
      <c r="F50" s="47"/>
      <c r="G50" s="151">
        <v>1377.56</v>
      </c>
      <c r="H50" s="151">
        <v>19087</v>
      </c>
      <c r="I50" s="182"/>
      <c r="J50" s="151">
        <v>16231.75</v>
      </c>
      <c r="K50" s="151">
        <v>3297.26</v>
      </c>
      <c r="L50" s="182">
        <f t="shared" si="3"/>
        <v>-1919.7000000000003</v>
      </c>
      <c r="M50" s="694">
        <f t="shared" si="4"/>
        <v>-0.58221068402249143</v>
      </c>
      <c r="N50" s="182" t="s">
        <v>728</v>
      </c>
      <c r="O50" s="472"/>
      <c r="P50" s="635"/>
      <c r="Q50" s="354"/>
      <c r="R50" s="354"/>
    </row>
    <row r="51" spans="1:18" s="44" customFormat="1" ht="20.25" x14ac:dyDescent="0.2">
      <c r="A51" s="43"/>
      <c r="B51" s="43"/>
      <c r="C51" s="47" t="s">
        <v>193</v>
      </c>
      <c r="D51" s="47"/>
      <c r="E51" s="47"/>
      <c r="F51" s="47"/>
      <c r="G51" s="151">
        <v>498.66</v>
      </c>
      <c r="H51" s="151">
        <v>4896.6499999999996</v>
      </c>
      <c r="I51" s="151"/>
      <c r="J51" s="151">
        <v>5793</v>
      </c>
      <c r="K51" s="151">
        <v>366</v>
      </c>
      <c r="L51" s="182">
        <f t="shared" si="3"/>
        <v>132.66000000000003</v>
      </c>
      <c r="M51" s="694">
        <f t="shared" si="4"/>
        <v>0.36245901639344269</v>
      </c>
      <c r="N51" s="182"/>
      <c r="O51" s="472"/>
      <c r="P51" s="538"/>
      <c r="Q51" s="354"/>
      <c r="R51" s="354"/>
    </row>
    <row r="52" spans="1:18" s="44" customFormat="1" ht="20.25" x14ac:dyDescent="0.2">
      <c r="A52" s="43"/>
      <c r="B52" s="43"/>
      <c r="C52" s="47" t="s">
        <v>160</v>
      </c>
      <c r="D52" s="47"/>
      <c r="E52" s="47"/>
      <c r="F52" s="47"/>
      <c r="G52" s="151">
        <v>11182.24</v>
      </c>
      <c r="H52" s="151">
        <v>62687.31</v>
      </c>
      <c r="I52" s="151"/>
      <c r="J52" s="151">
        <v>52599</v>
      </c>
      <c r="K52" s="151">
        <v>8083.41</v>
      </c>
      <c r="L52" s="182">
        <f t="shared" si="3"/>
        <v>3098.83</v>
      </c>
      <c r="M52" s="694">
        <f t="shared" si="4"/>
        <v>0.38335677640995569</v>
      </c>
      <c r="N52" s="182" t="s">
        <v>729</v>
      </c>
      <c r="Q52" s="354"/>
      <c r="R52" s="354"/>
    </row>
    <row r="53" spans="1:18" s="44" customFormat="1" ht="21" thickBot="1" x14ac:dyDescent="0.25">
      <c r="A53" s="43"/>
      <c r="B53" s="43"/>
      <c r="C53" s="47" t="s">
        <v>437</v>
      </c>
      <c r="D53" s="47"/>
      <c r="E53" s="47"/>
      <c r="F53" s="47"/>
      <c r="G53" s="151">
        <v>7778</v>
      </c>
      <c r="H53" s="151">
        <v>49068</v>
      </c>
      <c r="I53" s="151"/>
      <c r="J53" s="151">
        <v>29397.5</v>
      </c>
      <c r="K53" s="151">
        <v>8178</v>
      </c>
      <c r="L53" s="260">
        <f t="shared" si="3"/>
        <v>-400</v>
      </c>
      <c r="M53" s="696">
        <f t="shared" si="4"/>
        <v>-4.8911714355588165E-2</v>
      </c>
      <c r="N53" s="182"/>
      <c r="O53" s="472"/>
      <c r="R53" s="354"/>
    </row>
    <row r="54" spans="1:18" s="44" customFormat="1" ht="21" thickBot="1" x14ac:dyDescent="0.25">
      <c r="A54" s="47"/>
      <c r="B54" s="47"/>
      <c r="C54" s="47" t="s">
        <v>438</v>
      </c>
      <c r="D54" s="47"/>
      <c r="E54" s="47"/>
      <c r="F54" s="47"/>
      <c r="G54" s="151">
        <v>1248.98</v>
      </c>
      <c r="H54" s="151">
        <v>7493.88</v>
      </c>
      <c r="I54" s="151"/>
      <c r="J54" s="151">
        <v>4451</v>
      </c>
      <c r="K54" s="151">
        <v>1248.98</v>
      </c>
      <c r="L54" s="182">
        <f>G54-K54</f>
        <v>0</v>
      </c>
      <c r="M54" s="694">
        <f>(G54-K54)/K54</f>
        <v>0</v>
      </c>
      <c r="N54" s="182"/>
      <c r="O54" s="472"/>
      <c r="P54" s="635"/>
      <c r="Q54" s="354"/>
      <c r="R54" s="354"/>
    </row>
    <row r="55" spans="1:18" s="44" customFormat="1" ht="20.25" x14ac:dyDescent="0.2">
      <c r="A55" s="43"/>
      <c r="B55" s="43"/>
      <c r="C55" s="43"/>
      <c r="D55" s="43" t="s">
        <v>124</v>
      </c>
      <c r="E55" s="43"/>
      <c r="F55" s="43"/>
      <c r="G55" s="767">
        <f>SUM(G32:G53)</f>
        <v>224624.26</v>
      </c>
      <c r="H55" s="767">
        <f>SUM(H32:H54)</f>
        <v>1526555.6299999997</v>
      </c>
      <c r="I55" s="151"/>
      <c r="J55" s="154">
        <f>SUM(J32:J53)</f>
        <v>1252889.9959999998</v>
      </c>
      <c r="K55" s="767">
        <f>SUM(K32:K53)</f>
        <v>254228.43000000002</v>
      </c>
      <c r="L55" s="182">
        <f t="shared" ref="L55" si="5">G55-K55</f>
        <v>-29604.170000000013</v>
      </c>
      <c r="M55" s="694">
        <f t="shared" ref="M55" si="6">(G55-K55)/K55</f>
        <v>-0.11644712591742792</v>
      </c>
      <c r="N55" s="182" t="s">
        <v>731</v>
      </c>
      <c r="O55" s="472"/>
      <c r="P55" s="538">
        <v>255477.41</v>
      </c>
      <c r="Q55" s="356">
        <v>223622.9</v>
      </c>
      <c r="R55" s="356">
        <f>G55-Q55</f>
        <v>1001.3600000000151</v>
      </c>
    </row>
    <row r="56" spans="1:18" s="44" customFormat="1" ht="10.5" customHeight="1" thickBot="1" x14ac:dyDescent="0.25">
      <c r="A56" s="43"/>
      <c r="B56" s="43"/>
      <c r="C56" s="43"/>
      <c r="D56" s="43"/>
      <c r="E56" s="43"/>
      <c r="F56" s="43"/>
      <c r="G56" s="158"/>
      <c r="H56" s="158"/>
      <c r="I56" s="151"/>
      <c r="J56" s="158"/>
      <c r="K56" s="158"/>
      <c r="L56" s="268"/>
      <c r="M56" s="268"/>
      <c r="N56" s="182"/>
      <c r="O56" s="472"/>
      <c r="P56" s="538"/>
      <c r="Q56" s="354"/>
      <c r="R56" s="354"/>
    </row>
    <row r="57" spans="1:18" s="44" customFormat="1" ht="21" thickBot="1" x14ac:dyDescent="0.25">
      <c r="A57" s="43"/>
      <c r="B57" s="43"/>
      <c r="C57" s="43"/>
      <c r="D57" s="43" t="s">
        <v>125</v>
      </c>
      <c r="E57" s="43"/>
      <c r="F57" s="43"/>
      <c r="G57" s="158">
        <f>G29-G55</f>
        <v>13637.539999999979</v>
      </c>
      <c r="H57" s="158">
        <f>H29-H55</f>
        <v>90834.050000000279</v>
      </c>
      <c r="I57" s="151"/>
      <c r="J57" s="158">
        <f>J29-J55</f>
        <v>-18369.705999999773</v>
      </c>
      <c r="K57" s="158">
        <f>K29-K55</f>
        <v>29223.439999999973</v>
      </c>
      <c r="L57" s="774">
        <f t="shared" ref="L57" si="7">G57-K57</f>
        <v>-15585.899999999994</v>
      </c>
      <c r="M57" s="698">
        <f t="shared" ref="M57" si="8">(G57-K57)/K57</f>
        <v>-0.53333556898161227</v>
      </c>
      <c r="N57" s="182"/>
      <c r="O57" s="472"/>
      <c r="P57" s="538"/>
      <c r="Q57" s="354"/>
      <c r="R57" s="354"/>
    </row>
    <row r="58" spans="1:18" s="44" customFormat="1" ht="11.25" customHeight="1" x14ac:dyDescent="0.2">
      <c r="A58" s="43"/>
      <c r="B58" s="43"/>
      <c r="C58" s="43"/>
      <c r="D58" s="43"/>
      <c r="E58" s="43"/>
      <c r="F58" s="43"/>
      <c r="G58" s="151"/>
      <c r="H58" s="151"/>
      <c r="I58" s="151"/>
      <c r="J58" s="151"/>
      <c r="K58" s="151"/>
      <c r="L58" s="266"/>
      <c r="M58" s="694"/>
      <c r="N58" s="182"/>
      <c r="O58" s="472"/>
      <c r="P58" s="538"/>
      <c r="Q58" s="354"/>
      <c r="R58" s="354"/>
    </row>
    <row r="59" spans="1:18" s="44" customFormat="1" ht="21" thickBot="1" x14ac:dyDescent="0.35">
      <c r="A59" s="47"/>
      <c r="B59" s="55" t="s">
        <v>320</v>
      </c>
      <c r="C59" s="55"/>
      <c r="D59" s="55"/>
      <c r="E59" s="55"/>
      <c r="F59" s="55"/>
      <c r="G59" s="445"/>
      <c r="H59" s="445"/>
      <c r="I59" s="151"/>
      <c r="J59" s="158"/>
      <c r="K59" s="445"/>
      <c r="L59" s="268"/>
      <c r="M59" s="696"/>
      <c r="N59" s="181"/>
      <c r="O59" s="472"/>
      <c r="P59" s="538"/>
      <c r="Q59" s="354"/>
      <c r="R59" s="354"/>
    </row>
    <row r="60" spans="1:18" s="44" customFormat="1" ht="20.25" x14ac:dyDescent="0.2">
      <c r="A60" s="47"/>
      <c r="B60" s="43"/>
      <c r="C60" s="43"/>
      <c r="D60" s="43" t="s">
        <v>137</v>
      </c>
      <c r="E60" s="43"/>
      <c r="F60" s="43"/>
      <c r="G60" s="151"/>
      <c r="H60" s="151"/>
      <c r="I60" s="151"/>
      <c r="J60" s="151"/>
      <c r="K60" s="151"/>
      <c r="L60" s="266"/>
      <c r="M60" s="694"/>
      <c r="N60" s="182"/>
      <c r="O60" s="472"/>
      <c r="P60" s="538"/>
      <c r="Q60" s="354"/>
      <c r="R60" s="354"/>
    </row>
    <row r="61" spans="1:18" s="44" customFormat="1" ht="20.25" x14ac:dyDescent="0.2">
      <c r="A61" s="47"/>
      <c r="B61" s="43"/>
      <c r="C61" s="43"/>
      <c r="D61" s="43"/>
      <c r="E61" s="47" t="s">
        <v>138</v>
      </c>
      <c r="F61" s="43"/>
      <c r="G61" s="151">
        <f>'February''25 Revenues &amp; Expenses'!G50</f>
        <v>52000</v>
      </c>
      <c r="H61" s="151">
        <v>52000</v>
      </c>
      <c r="I61" s="151"/>
      <c r="J61" s="151">
        <v>52000</v>
      </c>
      <c r="K61" s="151">
        <v>52000</v>
      </c>
      <c r="L61" s="182">
        <f t="shared" ref="L61:L66" si="9">G61-K61</f>
        <v>0</v>
      </c>
      <c r="M61" s="694">
        <f t="shared" ref="M61:M66" si="10">(G61-K61)/K61</f>
        <v>0</v>
      </c>
      <c r="N61" s="182"/>
      <c r="O61" s="472"/>
      <c r="P61" s="538" t="s">
        <v>629</v>
      </c>
      <c r="Q61" s="354" t="s">
        <v>640</v>
      </c>
      <c r="R61" s="354"/>
    </row>
    <row r="62" spans="1:18" s="44" customFormat="1" ht="20.25" x14ac:dyDescent="0.2">
      <c r="A62" s="47"/>
      <c r="B62" s="43"/>
      <c r="C62" s="43"/>
      <c r="D62" s="43"/>
      <c r="E62" s="47" t="s">
        <v>164</v>
      </c>
      <c r="F62" s="43"/>
      <c r="G62" s="151">
        <f>'February''25 Revenues &amp; Expenses'!G53</f>
        <v>17500</v>
      </c>
      <c r="H62" s="151">
        <v>21000</v>
      </c>
      <c r="I62" s="151"/>
      <c r="J62" s="151">
        <v>21000</v>
      </c>
      <c r="K62" s="151">
        <v>21000</v>
      </c>
      <c r="L62" s="182">
        <f t="shared" si="9"/>
        <v>-3500</v>
      </c>
      <c r="M62" s="694">
        <f t="shared" si="10"/>
        <v>-0.16666666666666666</v>
      </c>
      <c r="N62" s="182"/>
      <c r="O62" s="472"/>
      <c r="P62" s="538" t="s">
        <v>629</v>
      </c>
      <c r="Q62" s="354" t="s">
        <v>641</v>
      </c>
      <c r="R62" s="354"/>
    </row>
    <row r="63" spans="1:18" s="44" customFormat="1" ht="20.25" x14ac:dyDescent="0.2">
      <c r="A63" s="47"/>
      <c r="B63" s="43"/>
      <c r="C63" s="43"/>
      <c r="D63" s="43"/>
      <c r="E63" s="47" t="s">
        <v>521</v>
      </c>
      <c r="F63" s="43"/>
      <c r="G63" s="151">
        <v>45833</v>
      </c>
      <c r="H63" s="151">
        <v>50000</v>
      </c>
      <c r="I63" s="151"/>
      <c r="J63" s="151">
        <v>21786</v>
      </c>
      <c r="K63" s="151">
        <f>14285.75+7500+1500-13092-1000</f>
        <v>9193.75</v>
      </c>
      <c r="L63" s="182">
        <f t="shared" si="9"/>
        <v>36639.25</v>
      </c>
      <c r="M63" s="694">
        <f t="shared" si="10"/>
        <v>3.9852345343303877</v>
      </c>
      <c r="N63" s="182"/>
      <c r="O63" s="472"/>
      <c r="P63" s="538" t="s">
        <v>629</v>
      </c>
      <c r="Q63" s="354" t="s">
        <v>199</v>
      </c>
      <c r="R63" s="354"/>
    </row>
    <row r="64" spans="1:18" s="44" customFormat="1" ht="20.25" x14ac:dyDescent="0.2">
      <c r="A64" s="47"/>
      <c r="B64" s="43"/>
      <c r="C64" s="43"/>
      <c r="D64" s="43"/>
      <c r="E64" s="47" t="s">
        <v>136</v>
      </c>
      <c r="F64" s="43"/>
      <c r="G64" s="153">
        <f>'February''25 Revenues &amp; Expenses'!H59+'February''25 Revenues &amp; Expenses'!H60</f>
        <v>21425.68</v>
      </c>
      <c r="H64" s="153">
        <f>13601.69+7829.38</f>
        <v>21431.07</v>
      </c>
      <c r="I64" s="153"/>
      <c r="J64" s="153">
        <v>7034</v>
      </c>
      <c r="K64" s="153">
        <f>33.81+5000+2000</f>
        <v>7033.81</v>
      </c>
      <c r="L64" s="182">
        <f t="shared" si="9"/>
        <v>14391.869999999999</v>
      </c>
      <c r="M64" s="694">
        <f t="shared" si="10"/>
        <v>2.0460987715050587</v>
      </c>
      <c r="N64" s="182"/>
      <c r="O64" s="472"/>
      <c r="P64" s="538" t="s">
        <v>629</v>
      </c>
      <c r="Q64" s="354" t="s">
        <v>200</v>
      </c>
      <c r="R64" s="354"/>
    </row>
    <row r="65" spans="1:15" s="44" customFormat="1" ht="21" thickBot="1" x14ac:dyDescent="0.25">
      <c r="A65" s="47"/>
      <c r="B65" s="43"/>
      <c r="C65" s="43"/>
      <c r="D65" s="43" t="s">
        <v>102</v>
      </c>
      <c r="E65" s="43"/>
      <c r="F65" s="43"/>
      <c r="G65" s="158">
        <f>-G28</f>
        <v>-12782.32</v>
      </c>
      <c r="H65" s="158">
        <f>-H28</f>
        <v>-83159.789999999994</v>
      </c>
      <c r="I65" s="151"/>
      <c r="J65" s="158">
        <f>-J28</f>
        <v>-110392</v>
      </c>
      <c r="K65" s="158">
        <f>-K28</f>
        <v>-13839</v>
      </c>
      <c r="L65" s="775">
        <f t="shared" si="9"/>
        <v>1056.6800000000003</v>
      </c>
      <c r="M65" s="776">
        <f t="shared" si="10"/>
        <v>-7.6355227978900236E-2</v>
      </c>
      <c r="N65" s="182"/>
      <c r="O65" s="472"/>
    </row>
    <row r="66" spans="1:15" s="44" customFormat="1" ht="21" thickBot="1" x14ac:dyDescent="0.25">
      <c r="A66" s="47"/>
      <c r="B66" s="43"/>
      <c r="C66" s="43"/>
      <c r="D66" s="43"/>
      <c r="E66" s="43" t="s">
        <v>319</v>
      </c>
      <c r="F66" s="43"/>
      <c r="G66" s="158">
        <f>SUM(G60:G65)</f>
        <v>123976.35999999999</v>
      </c>
      <c r="H66" s="158">
        <f>SUM(H60:H65)</f>
        <v>61271.280000000013</v>
      </c>
      <c r="I66" s="151"/>
      <c r="J66" s="158">
        <f>SUM(J60:J65)</f>
        <v>-8572</v>
      </c>
      <c r="K66" s="158">
        <f>SUM(K60:K65)</f>
        <v>75388.56</v>
      </c>
      <c r="L66" s="774">
        <f t="shared" si="9"/>
        <v>48587.799999999988</v>
      </c>
      <c r="M66" s="698">
        <f t="shared" si="10"/>
        <v>0.64449831645544087</v>
      </c>
      <c r="N66" s="182"/>
      <c r="O66" s="472"/>
    </row>
    <row r="67" spans="1:15" s="44" customFormat="1" ht="7.5" customHeight="1" x14ac:dyDescent="0.2">
      <c r="A67" s="43"/>
      <c r="B67" s="43"/>
      <c r="C67" s="43"/>
      <c r="D67" s="43"/>
      <c r="E67" s="43"/>
      <c r="F67" s="43"/>
      <c r="G67" s="180"/>
      <c r="H67" s="180"/>
      <c r="I67" s="180"/>
      <c r="J67" s="180"/>
      <c r="K67" s="180"/>
      <c r="L67" s="266"/>
      <c r="M67" s="694"/>
      <c r="N67" s="182"/>
      <c r="O67" s="472"/>
    </row>
    <row r="68" spans="1:15" s="44" customFormat="1" ht="20.25" x14ac:dyDescent="0.2">
      <c r="A68" s="43"/>
      <c r="B68" s="43"/>
      <c r="C68" s="43"/>
      <c r="D68" s="43"/>
      <c r="E68" s="43" t="s">
        <v>82</v>
      </c>
      <c r="F68" s="43"/>
      <c r="G68" s="154">
        <f>G57+G66</f>
        <v>137613.89999999997</v>
      </c>
      <c r="H68" s="154">
        <f>H57+H66</f>
        <v>152105.33000000031</v>
      </c>
      <c r="I68" s="154"/>
      <c r="J68" s="154">
        <f>J57+J66</f>
        <v>-26941.705999999773</v>
      </c>
      <c r="K68" s="154">
        <f>K57+K66</f>
        <v>104611.99999999997</v>
      </c>
      <c r="L68" s="182">
        <f t="shared" ref="L68" si="11">G68-K68</f>
        <v>33001.899999999994</v>
      </c>
      <c r="M68" s="694">
        <f t="shared" ref="M68" si="12">(G68-K68)/K68</f>
        <v>0.31546954460291365</v>
      </c>
      <c r="N68" s="182"/>
      <c r="O68" s="472"/>
    </row>
    <row r="69" spans="1:15" s="44" customFormat="1" ht="8.25" customHeight="1" x14ac:dyDescent="0.2">
      <c r="A69" s="43"/>
      <c r="B69" s="43"/>
      <c r="C69" s="43"/>
      <c r="D69" s="43"/>
      <c r="E69" s="43"/>
      <c r="F69" s="43"/>
      <c r="G69" s="151"/>
      <c r="H69" s="151"/>
      <c r="I69" s="151"/>
      <c r="J69" s="151"/>
      <c r="K69" s="151"/>
      <c r="L69" s="266"/>
      <c r="M69" s="266"/>
      <c r="N69" s="182"/>
      <c r="O69" s="472"/>
    </row>
    <row r="70" spans="1:15" s="51" customFormat="1" ht="26.25" x14ac:dyDescent="0.2">
      <c r="A70" s="176"/>
      <c r="B70" s="176"/>
      <c r="C70" s="43"/>
      <c r="D70" s="43" t="s">
        <v>140</v>
      </c>
      <c r="E70" s="43"/>
      <c r="F70" s="43"/>
      <c r="G70" s="154">
        <f>H71</f>
        <v>1132054.3400000003</v>
      </c>
      <c r="H70" s="154">
        <v>979949.01</v>
      </c>
      <c r="I70" s="154"/>
      <c r="J70" s="154">
        <f>H70-0.4</f>
        <v>979948.61</v>
      </c>
      <c r="K70" s="154">
        <v>979949.01</v>
      </c>
      <c r="L70" s="267"/>
      <c r="M70" s="267"/>
      <c r="N70" s="182"/>
      <c r="O70" s="548"/>
    </row>
    <row r="71" spans="1:15" s="53" customFormat="1" ht="21" thickBot="1" x14ac:dyDescent="0.25">
      <c r="A71" s="43"/>
      <c r="B71" s="43"/>
      <c r="C71" s="43"/>
      <c r="E71" s="43" t="s">
        <v>139</v>
      </c>
      <c r="F71" s="43"/>
      <c r="G71" s="223">
        <f>G68+G70</f>
        <v>1269668.2400000002</v>
      </c>
      <c r="H71" s="223">
        <f>H68+H70</f>
        <v>1132054.3400000003</v>
      </c>
      <c r="I71" s="180"/>
      <c r="J71" s="223">
        <f>J68+J70</f>
        <v>953006.90400000021</v>
      </c>
      <c r="K71" s="223">
        <f>K68+K70</f>
        <v>1084561.01</v>
      </c>
      <c r="L71" s="180"/>
      <c r="M71" s="267"/>
      <c r="N71" s="182"/>
      <c r="O71" s="597"/>
    </row>
    <row r="72" spans="1:15" s="41" customFormat="1" ht="6.75" customHeight="1" thickTop="1" x14ac:dyDescent="0.2">
      <c r="A72" s="176"/>
      <c r="B72" s="176"/>
      <c r="C72" s="43"/>
      <c r="D72" s="176"/>
      <c r="E72" s="176"/>
      <c r="F72" s="176"/>
      <c r="G72" s="178"/>
      <c r="H72" s="178"/>
      <c r="I72" s="151"/>
      <c r="J72" s="151"/>
      <c r="K72" s="178"/>
      <c r="L72" s="266"/>
      <c r="M72" s="266"/>
      <c r="N72" s="182"/>
      <c r="O72" s="537"/>
    </row>
    <row r="73" spans="1:15" s="44" customFormat="1" ht="16.5" customHeight="1" x14ac:dyDescent="0.2">
      <c r="A73" s="43"/>
      <c r="B73" s="43"/>
      <c r="D73" s="238"/>
      <c r="E73" s="43"/>
      <c r="G73" s="151"/>
      <c r="H73" s="151"/>
      <c r="I73" s="151"/>
      <c r="J73" s="151"/>
      <c r="K73" s="253"/>
      <c r="L73" s="266"/>
      <c r="M73" s="266"/>
      <c r="N73" s="182"/>
      <c r="O73" s="472"/>
    </row>
    <row r="74" spans="1:15" s="44" customFormat="1" ht="23.25" x14ac:dyDescent="0.2">
      <c r="A74" s="43"/>
      <c r="B74" s="179"/>
      <c r="C74" s="43"/>
      <c r="D74" s="43"/>
      <c r="E74" s="43"/>
      <c r="F74" s="43"/>
      <c r="G74" s="151"/>
      <c r="H74" s="151"/>
      <c r="I74" s="151"/>
      <c r="J74" s="151"/>
      <c r="K74" s="253"/>
      <c r="L74" s="266"/>
      <c r="M74" s="266"/>
      <c r="N74" s="182"/>
      <c r="O74" s="472"/>
    </row>
    <row r="75" spans="1:15" s="44" customFormat="1" ht="20.25" x14ac:dyDescent="0.2">
      <c r="A75" s="43"/>
      <c r="B75" s="43"/>
      <c r="C75" s="43"/>
      <c r="D75" s="43"/>
      <c r="E75" s="43"/>
      <c r="F75" s="43"/>
      <c r="G75" s="151"/>
      <c r="H75" s="151"/>
      <c r="I75" s="151"/>
      <c r="J75" s="151"/>
      <c r="K75" s="253"/>
      <c r="L75" s="266"/>
      <c r="M75" s="266"/>
      <c r="N75" s="355"/>
      <c r="O75" s="472"/>
    </row>
  </sheetData>
  <mergeCells count="3">
    <mergeCell ref="L8:M8"/>
    <mergeCell ref="G6:J6"/>
    <mergeCell ref="C39:F39"/>
  </mergeCells>
  <pageMargins left="0.25" right="0.25" top="0.75" bottom="0.75" header="0.3" footer="0.3"/>
  <pageSetup scale="33"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3"/>
  <sheetViews>
    <sheetView zoomScale="75" zoomScaleNormal="75" workbookViewId="0">
      <selection activeCell="O10" sqref="O10"/>
    </sheetView>
  </sheetViews>
  <sheetFormatPr defaultRowHeight="14.25" x14ac:dyDescent="0.2"/>
  <cols>
    <col min="1" max="1" width="2.875" style="34" customWidth="1"/>
    <col min="2" max="2" width="8.125" style="34" customWidth="1"/>
    <col min="3" max="3" width="8.75" style="34" customWidth="1"/>
    <col min="4" max="4" width="5.75" style="34" customWidth="1"/>
    <col min="5" max="5" width="2.875" style="34" customWidth="1"/>
    <col min="6" max="6" width="44.625" style="34" customWidth="1"/>
    <col min="7" max="7" width="24.25" customWidth="1"/>
    <col min="228" max="228" width="2.875" customWidth="1"/>
    <col min="229" max="229" width="8.125" customWidth="1"/>
    <col min="230" max="230" width="8.75" customWidth="1"/>
    <col min="231" max="231" width="11" customWidth="1"/>
    <col min="232" max="232" width="2.875" customWidth="1"/>
    <col min="233" max="233" width="77.625" customWidth="1"/>
    <col min="234" max="234" width="20.875" customWidth="1"/>
    <col min="484" max="484" width="2.875" customWidth="1"/>
    <col min="485" max="485" width="8.125" customWidth="1"/>
    <col min="486" max="486" width="8.75" customWidth="1"/>
    <col min="487" max="487" width="11" customWidth="1"/>
    <col min="488" max="488" width="2.875" customWidth="1"/>
    <col min="489" max="489" width="77.625" customWidth="1"/>
    <col min="490" max="490" width="20.875" customWidth="1"/>
    <col min="740" max="740" width="2.875" customWidth="1"/>
    <col min="741" max="741" width="8.125" customWidth="1"/>
    <col min="742" max="742" width="8.75" customWidth="1"/>
    <col min="743" max="743" width="11" customWidth="1"/>
    <col min="744" max="744" width="2.875" customWidth="1"/>
    <col min="745" max="745" width="77.625" customWidth="1"/>
    <col min="746" max="746" width="20.875" customWidth="1"/>
    <col min="996" max="996" width="2.875" customWidth="1"/>
    <col min="997" max="997" width="8.125" customWidth="1"/>
    <col min="998" max="998" width="8.75" customWidth="1"/>
    <col min="999" max="999" width="11" customWidth="1"/>
    <col min="1000" max="1000" width="2.875" customWidth="1"/>
    <col min="1001" max="1001" width="77.625" customWidth="1"/>
    <col min="1002" max="1002" width="20.875" customWidth="1"/>
    <col min="1252" max="1252" width="2.875" customWidth="1"/>
    <col min="1253" max="1253" width="8.125" customWidth="1"/>
    <col min="1254" max="1254" width="8.75" customWidth="1"/>
    <col min="1255" max="1255" width="11" customWidth="1"/>
    <col min="1256" max="1256" width="2.875" customWidth="1"/>
    <col min="1257" max="1257" width="77.625" customWidth="1"/>
    <col min="1258" max="1258" width="20.875" customWidth="1"/>
    <col min="1508" max="1508" width="2.875" customWidth="1"/>
    <col min="1509" max="1509" width="8.125" customWidth="1"/>
    <col min="1510" max="1510" width="8.75" customWidth="1"/>
    <col min="1511" max="1511" width="11" customWidth="1"/>
    <col min="1512" max="1512" width="2.875" customWidth="1"/>
    <col min="1513" max="1513" width="77.625" customWidth="1"/>
    <col min="1514" max="1514" width="20.875" customWidth="1"/>
    <col min="1764" max="1764" width="2.875" customWidth="1"/>
    <col min="1765" max="1765" width="8.125" customWidth="1"/>
    <col min="1766" max="1766" width="8.75" customWidth="1"/>
    <col min="1767" max="1767" width="11" customWidth="1"/>
    <col min="1768" max="1768" width="2.875" customWidth="1"/>
    <col min="1769" max="1769" width="77.625" customWidth="1"/>
    <col min="1770" max="1770" width="20.875" customWidth="1"/>
    <col min="2020" max="2020" width="2.875" customWidth="1"/>
    <col min="2021" max="2021" width="8.125" customWidth="1"/>
    <col min="2022" max="2022" width="8.75" customWidth="1"/>
    <col min="2023" max="2023" width="11" customWidth="1"/>
    <col min="2024" max="2024" width="2.875" customWidth="1"/>
    <col min="2025" max="2025" width="77.625" customWidth="1"/>
    <col min="2026" max="2026" width="20.875" customWidth="1"/>
    <col min="2276" max="2276" width="2.875" customWidth="1"/>
    <col min="2277" max="2277" width="8.125" customWidth="1"/>
    <col min="2278" max="2278" width="8.75" customWidth="1"/>
    <col min="2279" max="2279" width="11" customWidth="1"/>
    <col min="2280" max="2280" width="2.875" customWidth="1"/>
    <col min="2281" max="2281" width="77.625" customWidth="1"/>
    <col min="2282" max="2282" width="20.875" customWidth="1"/>
    <col min="2532" max="2532" width="2.875" customWidth="1"/>
    <col min="2533" max="2533" width="8.125" customWidth="1"/>
    <col min="2534" max="2534" width="8.75" customWidth="1"/>
    <col min="2535" max="2535" width="11" customWidth="1"/>
    <col min="2536" max="2536" width="2.875" customWidth="1"/>
    <col min="2537" max="2537" width="77.625" customWidth="1"/>
    <col min="2538" max="2538" width="20.875" customWidth="1"/>
    <col min="2788" max="2788" width="2.875" customWidth="1"/>
    <col min="2789" max="2789" width="8.125" customWidth="1"/>
    <col min="2790" max="2790" width="8.75" customWidth="1"/>
    <col min="2791" max="2791" width="11" customWidth="1"/>
    <col min="2792" max="2792" width="2.875" customWidth="1"/>
    <col min="2793" max="2793" width="77.625" customWidth="1"/>
    <col min="2794" max="2794" width="20.875" customWidth="1"/>
    <col min="3044" max="3044" width="2.875" customWidth="1"/>
    <col min="3045" max="3045" width="8.125" customWidth="1"/>
    <col min="3046" max="3046" width="8.75" customWidth="1"/>
    <col min="3047" max="3047" width="11" customWidth="1"/>
    <col min="3048" max="3048" width="2.875" customWidth="1"/>
    <col min="3049" max="3049" width="77.625" customWidth="1"/>
    <col min="3050" max="3050" width="20.875" customWidth="1"/>
    <col min="3300" max="3300" width="2.875" customWidth="1"/>
    <col min="3301" max="3301" width="8.125" customWidth="1"/>
    <col min="3302" max="3302" width="8.75" customWidth="1"/>
    <col min="3303" max="3303" width="11" customWidth="1"/>
    <col min="3304" max="3304" width="2.875" customWidth="1"/>
    <col min="3305" max="3305" width="77.625" customWidth="1"/>
    <col min="3306" max="3306" width="20.875" customWidth="1"/>
    <col min="3556" max="3556" width="2.875" customWidth="1"/>
    <col min="3557" max="3557" width="8.125" customWidth="1"/>
    <col min="3558" max="3558" width="8.75" customWidth="1"/>
    <col min="3559" max="3559" width="11" customWidth="1"/>
    <col min="3560" max="3560" width="2.875" customWidth="1"/>
    <col min="3561" max="3561" width="77.625" customWidth="1"/>
    <col min="3562" max="3562" width="20.875" customWidth="1"/>
    <col min="3812" max="3812" width="2.875" customWidth="1"/>
    <col min="3813" max="3813" width="8.125" customWidth="1"/>
    <col min="3814" max="3814" width="8.75" customWidth="1"/>
    <col min="3815" max="3815" width="11" customWidth="1"/>
    <col min="3816" max="3816" width="2.875" customWidth="1"/>
    <col min="3817" max="3817" width="77.625" customWidth="1"/>
    <col min="3818" max="3818" width="20.875" customWidth="1"/>
    <col min="4068" max="4068" width="2.875" customWidth="1"/>
    <col min="4069" max="4069" width="8.125" customWidth="1"/>
    <col min="4070" max="4070" width="8.75" customWidth="1"/>
    <col min="4071" max="4071" width="11" customWidth="1"/>
    <col min="4072" max="4072" width="2.875" customWidth="1"/>
    <col min="4073" max="4073" width="77.625" customWidth="1"/>
    <col min="4074" max="4074" width="20.875" customWidth="1"/>
    <col min="4324" max="4324" width="2.875" customWidth="1"/>
    <col min="4325" max="4325" width="8.125" customWidth="1"/>
    <col min="4326" max="4326" width="8.75" customWidth="1"/>
    <col min="4327" max="4327" width="11" customWidth="1"/>
    <col min="4328" max="4328" width="2.875" customWidth="1"/>
    <col min="4329" max="4329" width="77.625" customWidth="1"/>
    <col min="4330" max="4330" width="20.875" customWidth="1"/>
    <col min="4580" max="4580" width="2.875" customWidth="1"/>
    <col min="4581" max="4581" width="8.125" customWidth="1"/>
    <col min="4582" max="4582" width="8.75" customWidth="1"/>
    <col min="4583" max="4583" width="11" customWidth="1"/>
    <col min="4584" max="4584" width="2.875" customWidth="1"/>
    <col min="4585" max="4585" width="77.625" customWidth="1"/>
    <col min="4586" max="4586" width="20.875" customWidth="1"/>
    <col min="4836" max="4836" width="2.875" customWidth="1"/>
    <col min="4837" max="4837" width="8.125" customWidth="1"/>
    <col min="4838" max="4838" width="8.75" customWidth="1"/>
    <col min="4839" max="4839" width="11" customWidth="1"/>
    <col min="4840" max="4840" width="2.875" customWidth="1"/>
    <col min="4841" max="4841" width="77.625" customWidth="1"/>
    <col min="4842" max="4842" width="20.875" customWidth="1"/>
    <col min="5092" max="5092" width="2.875" customWidth="1"/>
    <col min="5093" max="5093" width="8.125" customWidth="1"/>
    <col min="5094" max="5094" width="8.75" customWidth="1"/>
    <col min="5095" max="5095" width="11" customWidth="1"/>
    <col min="5096" max="5096" width="2.875" customWidth="1"/>
    <col min="5097" max="5097" width="77.625" customWidth="1"/>
    <col min="5098" max="5098" width="20.875" customWidth="1"/>
    <col min="5348" max="5348" width="2.875" customWidth="1"/>
    <col min="5349" max="5349" width="8.125" customWidth="1"/>
    <col min="5350" max="5350" width="8.75" customWidth="1"/>
    <col min="5351" max="5351" width="11" customWidth="1"/>
    <col min="5352" max="5352" width="2.875" customWidth="1"/>
    <col min="5353" max="5353" width="77.625" customWidth="1"/>
    <col min="5354" max="5354" width="20.875" customWidth="1"/>
    <col min="5604" max="5604" width="2.875" customWidth="1"/>
    <col min="5605" max="5605" width="8.125" customWidth="1"/>
    <col min="5606" max="5606" width="8.75" customWidth="1"/>
    <col min="5607" max="5607" width="11" customWidth="1"/>
    <col min="5608" max="5608" width="2.875" customWidth="1"/>
    <col min="5609" max="5609" width="77.625" customWidth="1"/>
    <col min="5610" max="5610" width="20.875" customWidth="1"/>
    <col min="5860" max="5860" width="2.875" customWidth="1"/>
    <col min="5861" max="5861" width="8.125" customWidth="1"/>
    <col min="5862" max="5862" width="8.75" customWidth="1"/>
    <col min="5863" max="5863" width="11" customWidth="1"/>
    <col min="5864" max="5864" width="2.875" customWidth="1"/>
    <col min="5865" max="5865" width="77.625" customWidth="1"/>
    <col min="5866" max="5866" width="20.875" customWidth="1"/>
    <col min="6116" max="6116" width="2.875" customWidth="1"/>
    <col min="6117" max="6117" width="8.125" customWidth="1"/>
    <col min="6118" max="6118" width="8.75" customWidth="1"/>
    <col min="6119" max="6119" width="11" customWidth="1"/>
    <col min="6120" max="6120" width="2.875" customWidth="1"/>
    <col min="6121" max="6121" width="77.625" customWidth="1"/>
    <col min="6122" max="6122" width="20.875" customWidth="1"/>
    <col min="6372" max="6372" width="2.875" customWidth="1"/>
    <col min="6373" max="6373" width="8.125" customWidth="1"/>
    <col min="6374" max="6374" width="8.75" customWidth="1"/>
    <col min="6375" max="6375" width="11" customWidth="1"/>
    <col min="6376" max="6376" width="2.875" customWidth="1"/>
    <col min="6377" max="6377" width="77.625" customWidth="1"/>
    <col min="6378" max="6378" width="20.875" customWidth="1"/>
    <col min="6628" max="6628" width="2.875" customWidth="1"/>
    <col min="6629" max="6629" width="8.125" customWidth="1"/>
    <col min="6630" max="6630" width="8.75" customWidth="1"/>
    <col min="6631" max="6631" width="11" customWidth="1"/>
    <col min="6632" max="6632" width="2.875" customWidth="1"/>
    <col min="6633" max="6633" width="77.625" customWidth="1"/>
    <col min="6634" max="6634" width="20.875" customWidth="1"/>
    <col min="6884" max="6884" width="2.875" customWidth="1"/>
    <col min="6885" max="6885" width="8.125" customWidth="1"/>
    <col min="6886" max="6886" width="8.75" customWidth="1"/>
    <col min="6887" max="6887" width="11" customWidth="1"/>
    <col min="6888" max="6888" width="2.875" customWidth="1"/>
    <col min="6889" max="6889" width="77.625" customWidth="1"/>
    <col min="6890" max="6890" width="20.875" customWidth="1"/>
    <col min="7140" max="7140" width="2.875" customWidth="1"/>
    <col min="7141" max="7141" width="8.125" customWidth="1"/>
    <col min="7142" max="7142" width="8.75" customWidth="1"/>
    <col min="7143" max="7143" width="11" customWidth="1"/>
    <col min="7144" max="7144" width="2.875" customWidth="1"/>
    <col min="7145" max="7145" width="77.625" customWidth="1"/>
    <col min="7146" max="7146" width="20.875" customWidth="1"/>
    <col min="7396" max="7396" width="2.875" customWidth="1"/>
    <col min="7397" max="7397" width="8.125" customWidth="1"/>
    <col min="7398" max="7398" width="8.75" customWidth="1"/>
    <col min="7399" max="7399" width="11" customWidth="1"/>
    <col min="7400" max="7400" width="2.875" customWidth="1"/>
    <col min="7401" max="7401" width="77.625" customWidth="1"/>
    <col min="7402" max="7402" width="20.875" customWidth="1"/>
    <col min="7652" max="7652" width="2.875" customWidth="1"/>
    <col min="7653" max="7653" width="8.125" customWidth="1"/>
    <col min="7654" max="7654" width="8.75" customWidth="1"/>
    <col min="7655" max="7655" width="11" customWidth="1"/>
    <col min="7656" max="7656" width="2.875" customWidth="1"/>
    <col min="7657" max="7657" width="77.625" customWidth="1"/>
    <col min="7658" max="7658" width="20.875" customWidth="1"/>
    <col min="7908" max="7908" width="2.875" customWidth="1"/>
    <col min="7909" max="7909" width="8.125" customWidth="1"/>
    <col min="7910" max="7910" width="8.75" customWidth="1"/>
    <col min="7911" max="7911" width="11" customWidth="1"/>
    <col min="7912" max="7912" width="2.875" customWidth="1"/>
    <col min="7913" max="7913" width="77.625" customWidth="1"/>
    <col min="7914" max="7914" width="20.875" customWidth="1"/>
    <col min="8164" max="8164" width="2.875" customWidth="1"/>
    <col min="8165" max="8165" width="8.125" customWidth="1"/>
    <col min="8166" max="8166" width="8.75" customWidth="1"/>
    <col min="8167" max="8167" width="11" customWidth="1"/>
    <col min="8168" max="8168" width="2.875" customWidth="1"/>
    <col min="8169" max="8169" width="77.625" customWidth="1"/>
    <col min="8170" max="8170" width="20.875" customWidth="1"/>
    <col min="8420" max="8420" width="2.875" customWidth="1"/>
    <col min="8421" max="8421" width="8.125" customWidth="1"/>
    <col min="8422" max="8422" width="8.75" customWidth="1"/>
    <col min="8423" max="8423" width="11" customWidth="1"/>
    <col min="8424" max="8424" width="2.875" customWidth="1"/>
    <col min="8425" max="8425" width="77.625" customWidth="1"/>
    <col min="8426" max="8426" width="20.875" customWidth="1"/>
    <col min="8676" max="8676" width="2.875" customWidth="1"/>
    <col min="8677" max="8677" width="8.125" customWidth="1"/>
    <col min="8678" max="8678" width="8.75" customWidth="1"/>
    <col min="8679" max="8679" width="11" customWidth="1"/>
    <col min="8680" max="8680" width="2.875" customWidth="1"/>
    <col min="8681" max="8681" width="77.625" customWidth="1"/>
    <col min="8682" max="8682" width="20.875" customWidth="1"/>
    <col min="8932" max="8932" width="2.875" customWidth="1"/>
    <col min="8933" max="8933" width="8.125" customWidth="1"/>
    <col min="8934" max="8934" width="8.75" customWidth="1"/>
    <col min="8935" max="8935" width="11" customWidth="1"/>
    <col min="8936" max="8936" width="2.875" customWidth="1"/>
    <col min="8937" max="8937" width="77.625" customWidth="1"/>
    <col min="8938" max="8938" width="20.875" customWidth="1"/>
    <col min="9188" max="9188" width="2.875" customWidth="1"/>
    <col min="9189" max="9189" width="8.125" customWidth="1"/>
    <col min="9190" max="9190" width="8.75" customWidth="1"/>
    <col min="9191" max="9191" width="11" customWidth="1"/>
    <col min="9192" max="9192" width="2.875" customWidth="1"/>
    <col min="9193" max="9193" width="77.625" customWidth="1"/>
    <col min="9194" max="9194" width="20.875" customWidth="1"/>
    <col min="9444" max="9444" width="2.875" customWidth="1"/>
    <col min="9445" max="9445" width="8.125" customWidth="1"/>
    <col min="9446" max="9446" width="8.75" customWidth="1"/>
    <col min="9447" max="9447" width="11" customWidth="1"/>
    <col min="9448" max="9448" width="2.875" customWidth="1"/>
    <col min="9449" max="9449" width="77.625" customWidth="1"/>
    <col min="9450" max="9450" width="20.875" customWidth="1"/>
    <col min="9700" max="9700" width="2.875" customWidth="1"/>
    <col min="9701" max="9701" width="8.125" customWidth="1"/>
    <col min="9702" max="9702" width="8.75" customWidth="1"/>
    <col min="9703" max="9703" width="11" customWidth="1"/>
    <col min="9704" max="9704" width="2.875" customWidth="1"/>
    <col min="9705" max="9705" width="77.625" customWidth="1"/>
    <col min="9706" max="9706" width="20.875" customWidth="1"/>
    <col min="9956" max="9956" width="2.875" customWidth="1"/>
    <col min="9957" max="9957" width="8.125" customWidth="1"/>
    <col min="9958" max="9958" width="8.75" customWidth="1"/>
    <col min="9959" max="9959" width="11" customWidth="1"/>
    <col min="9960" max="9960" width="2.875" customWidth="1"/>
    <col min="9961" max="9961" width="77.625" customWidth="1"/>
    <col min="9962" max="9962" width="20.875" customWidth="1"/>
    <col min="10212" max="10212" width="2.875" customWidth="1"/>
    <col min="10213" max="10213" width="8.125" customWidth="1"/>
    <col min="10214" max="10214" width="8.75" customWidth="1"/>
    <col min="10215" max="10215" width="11" customWidth="1"/>
    <col min="10216" max="10216" width="2.875" customWidth="1"/>
    <col min="10217" max="10217" width="77.625" customWidth="1"/>
    <col min="10218" max="10218" width="20.875" customWidth="1"/>
    <col min="10468" max="10468" width="2.875" customWidth="1"/>
    <col min="10469" max="10469" width="8.125" customWidth="1"/>
    <col min="10470" max="10470" width="8.75" customWidth="1"/>
    <col min="10471" max="10471" width="11" customWidth="1"/>
    <col min="10472" max="10472" width="2.875" customWidth="1"/>
    <col min="10473" max="10473" width="77.625" customWidth="1"/>
    <col min="10474" max="10474" width="20.875" customWidth="1"/>
    <col min="10724" max="10724" width="2.875" customWidth="1"/>
    <col min="10725" max="10725" width="8.125" customWidth="1"/>
    <col min="10726" max="10726" width="8.75" customWidth="1"/>
    <col min="10727" max="10727" width="11" customWidth="1"/>
    <col min="10728" max="10728" width="2.875" customWidth="1"/>
    <col min="10729" max="10729" width="77.625" customWidth="1"/>
    <col min="10730" max="10730" width="20.875" customWidth="1"/>
    <col min="10980" max="10980" width="2.875" customWidth="1"/>
    <col min="10981" max="10981" width="8.125" customWidth="1"/>
    <col min="10982" max="10982" width="8.75" customWidth="1"/>
    <col min="10983" max="10983" width="11" customWidth="1"/>
    <col min="10984" max="10984" width="2.875" customWidth="1"/>
    <col min="10985" max="10985" width="77.625" customWidth="1"/>
    <col min="10986" max="10986" width="20.875" customWidth="1"/>
    <col min="11236" max="11236" width="2.875" customWidth="1"/>
    <col min="11237" max="11237" width="8.125" customWidth="1"/>
    <col min="11238" max="11238" width="8.75" customWidth="1"/>
    <col min="11239" max="11239" width="11" customWidth="1"/>
    <col min="11240" max="11240" width="2.875" customWidth="1"/>
    <col min="11241" max="11241" width="77.625" customWidth="1"/>
    <col min="11242" max="11242" width="20.875" customWidth="1"/>
    <col min="11492" max="11492" width="2.875" customWidth="1"/>
    <col min="11493" max="11493" width="8.125" customWidth="1"/>
    <col min="11494" max="11494" width="8.75" customWidth="1"/>
    <col min="11495" max="11495" width="11" customWidth="1"/>
    <col min="11496" max="11496" width="2.875" customWidth="1"/>
    <col min="11497" max="11497" width="77.625" customWidth="1"/>
    <col min="11498" max="11498" width="20.875" customWidth="1"/>
    <col min="11748" max="11748" width="2.875" customWidth="1"/>
    <col min="11749" max="11749" width="8.125" customWidth="1"/>
    <col min="11750" max="11750" width="8.75" customWidth="1"/>
    <col min="11751" max="11751" width="11" customWidth="1"/>
    <col min="11752" max="11752" width="2.875" customWidth="1"/>
    <col min="11753" max="11753" width="77.625" customWidth="1"/>
    <col min="11754" max="11754" width="20.875" customWidth="1"/>
    <col min="12004" max="12004" width="2.875" customWidth="1"/>
    <col min="12005" max="12005" width="8.125" customWidth="1"/>
    <col min="12006" max="12006" width="8.75" customWidth="1"/>
    <col min="12007" max="12007" width="11" customWidth="1"/>
    <col min="12008" max="12008" width="2.875" customWidth="1"/>
    <col min="12009" max="12009" width="77.625" customWidth="1"/>
    <col min="12010" max="12010" width="20.875" customWidth="1"/>
    <col min="12260" max="12260" width="2.875" customWidth="1"/>
    <col min="12261" max="12261" width="8.125" customWidth="1"/>
    <col min="12262" max="12262" width="8.75" customWidth="1"/>
    <col min="12263" max="12263" width="11" customWidth="1"/>
    <col min="12264" max="12264" width="2.875" customWidth="1"/>
    <col min="12265" max="12265" width="77.625" customWidth="1"/>
    <col min="12266" max="12266" width="20.875" customWidth="1"/>
    <col min="12516" max="12516" width="2.875" customWidth="1"/>
    <col min="12517" max="12517" width="8.125" customWidth="1"/>
    <col min="12518" max="12518" width="8.75" customWidth="1"/>
    <col min="12519" max="12519" width="11" customWidth="1"/>
    <col min="12520" max="12520" width="2.875" customWidth="1"/>
    <col min="12521" max="12521" width="77.625" customWidth="1"/>
    <col min="12522" max="12522" width="20.875" customWidth="1"/>
    <col min="12772" max="12772" width="2.875" customWidth="1"/>
    <col min="12773" max="12773" width="8.125" customWidth="1"/>
    <col min="12774" max="12774" width="8.75" customWidth="1"/>
    <col min="12775" max="12775" width="11" customWidth="1"/>
    <col min="12776" max="12776" width="2.875" customWidth="1"/>
    <col min="12777" max="12777" width="77.625" customWidth="1"/>
    <col min="12778" max="12778" width="20.875" customWidth="1"/>
    <col min="13028" max="13028" width="2.875" customWidth="1"/>
    <col min="13029" max="13029" width="8.125" customWidth="1"/>
    <col min="13030" max="13030" width="8.75" customWidth="1"/>
    <col min="13031" max="13031" width="11" customWidth="1"/>
    <col min="13032" max="13032" width="2.875" customWidth="1"/>
    <col min="13033" max="13033" width="77.625" customWidth="1"/>
    <col min="13034" max="13034" width="20.875" customWidth="1"/>
    <col min="13284" max="13284" width="2.875" customWidth="1"/>
    <col min="13285" max="13285" width="8.125" customWidth="1"/>
    <col min="13286" max="13286" width="8.75" customWidth="1"/>
    <col min="13287" max="13287" width="11" customWidth="1"/>
    <col min="13288" max="13288" width="2.875" customWidth="1"/>
    <col min="13289" max="13289" width="77.625" customWidth="1"/>
    <col min="13290" max="13290" width="20.875" customWidth="1"/>
    <col min="13540" max="13540" width="2.875" customWidth="1"/>
    <col min="13541" max="13541" width="8.125" customWidth="1"/>
    <col min="13542" max="13542" width="8.75" customWidth="1"/>
    <col min="13543" max="13543" width="11" customWidth="1"/>
    <col min="13544" max="13544" width="2.875" customWidth="1"/>
    <col min="13545" max="13545" width="77.625" customWidth="1"/>
    <col min="13546" max="13546" width="20.875" customWidth="1"/>
    <col min="13796" max="13796" width="2.875" customWidth="1"/>
    <col min="13797" max="13797" width="8.125" customWidth="1"/>
    <col min="13798" max="13798" width="8.75" customWidth="1"/>
    <col min="13799" max="13799" width="11" customWidth="1"/>
    <col min="13800" max="13800" width="2.875" customWidth="1"/>
    <col min="13801" max="13801" width="77.625" customWidth="1"/>
    <col min="13802" max="13802" width="20.875" customWidth="1"/>
    <col min="14052" max="14052" width="2.875" customWidth="1"/>
    <col min="14053" max="14053" width="8.125" customWidth="1"/>
    <col min="14054" max="14054" width="8.75" customWidth="1"/>
    <col min="14055" max="14055" width="11" customWidth="1"/>
    <col min="14056" max="14056" width="2.875" customWidth="1"/>
    <col min="14057" max="14057" width="77.625" customWidth="1"/>
    <col min="14058" max="14058" width="20.875" customWidth="1"/>
    <col min="14308" max="14308" width="2.875" customWidth="1"/>
    <col min="14309" max="14309" width="8.125" customWidth="1"/>
    <col min="14310" max="14310" width="8.75" customWidth="1"/>
    <col min="14311" max="14311" width="11" customWidth="1"/>
    <col min="14312" max="14312" width="2.875" customWidth="1"/>
    <col min="14313" max="14313" width="77.625" customWidth="1"/>
    <col min="14314" max="14314" width="20.875" customWidth="1"/>
    <col min="14564" max="14564" width="2.875" customWidth="1"/>
    <col min="14565" max="14565" width="8.125" customWidth="1"/>
    <col min="14566" max="14566" width="8.75" customWidth="1"/>
    <col min="14567" max="14567" width="11" customWidth="1"/>
    <col min="14568" max="14568" width="2.875" customWidth="1"/>
    <col min="14569" max="14569" width="77.625" customWidth="1"/>
    <col min="14570" max="14570" width="20.875" customWidth="1"/>
    <col min="14820" max="14820" width="2.875" customWidth="1"/>
    <col min="14821" max="14821" width="8.125" customWidth="1"/>
    <col min="14822" max="14822" width="8.75" customWidth="1"/>
    <col min="14823" max="14823" width="11" customWidth="1"/>
    <col min="14824" max="14824" width="2.875" customWidth="1"/>
    <col min="14825" max="14825" width="77.625" customWidth="1"/>
    <col min="14826" max="14826" width="20.875" customWidth="1"/>
    <col min="15076" max="15076" width="2.875" customWidth="1"/>
    <col min="15077" max="15077" width="8.125" customWidth="1"/>
    <col min="15078" max="15078" width="8.75" customWidth="1"/>
    <col min="15079" max="15079" width="11" customWidth="1"/>
    <col min="15080" max="15080" width="2.875" customWidth="1"/>
    <col min="15081" max="15081" width="77.625" customWidth="1"/>
    <col min="15082" max="15082" width="20.875" customWidth="1"/>
    <col min="15332" max="15332" width="2.875" customWidth="1"/>
    <col min="15333" max="15333" width="8.125" customWidth="1"/>
    <col min="15334" max="15334" width="8.75" customWidth="1"/>
    <col min="15335" max="15335" width="11" customWidth="1"/>
    <col min="15336" max="15336" width="2.875" customWidth="1"/>
    <col min="15337" max="15337" width="77.625" customWidth="1"/>
    <col min="15338" max="15338" width="20.875" customWidth="1"/>
    <col min="15588" max="15588" width="2.875" customWidth="1"/>
    <col min="15589" max="15589" width="8.125" customWidth="1"/>
    <col min="15590" max="15590" width="8.75" customWidth="1"/>
    <col min="15591" max="15591" width="11" customWidth="1"/>
    <col min="15592" max="15592" width="2.875" customWidth="1"/>
    <col min="15593" max="15593" width="77.625" customWidth="1"/>
    <col min="15594" max="15594" width="20.875" customWidth="1"/>
    <col min="15844" max="15844" width="2.875" customWidth="1"/>
    <col min="15845" max="15845" width="8.125" customWidth="1"/>
    <col min="15846" max="15846" width="8.75" customWidth="1"/>
    <col min="15847" max="15847" width="11" customWidth="1"/>
    <col min="15848" max="15848" width="2.875" customWidth="1"/>
    <col min="15849" max="15849" width="77.625" customWidth="1"/>
    <col min="15850" max="15850" width="20.875" customWidth="1"/>
    <col min="16100" max="16100" width="2.875" customWidth="1"/>
    <col min="16101" max="16101" width="8.125" customWidth="1"/>
    <col min="16102" max="16102" width="8.75" customWidth="1"/>
    <col min="16103" max="16103" width="11" customWidth="1"/>
    <col min="16104" max="16104" width="2.875" customWidth="1"/>
    <col min="16105" max="16105" width="77.625" customWidth="1"/>
    <col min="16106" max="16106" width="20.875" customWidth="1"/>
  </cols>
  <sheetData>
    <row r="1" spans="1:7" ht="22.5" customHeight="1" x14ac:dyDescent="0.4">
      <c r="A1" s="35" t="s">
        <v>90</v>
      </c>
      <c r="B1" s="36"/>
      <c r="C1" s="37"/>
      <c r="D1" s="37"/>
      <c r="E1" s="37"/>
      <c r="F1" s="36"/>
      <c r="G1" s="36"/>
    </row>
    <row r="2" spans="1:7" ht="22.5" customHeight="1" x14ac:dyDescent="0.4">
      <c r="A2" s="35" t="s">
        <v>545</v>
      </c>
      <c r="B2" s="36"/>
      <c r="C2" s="37"/>
      <c r="D2" s="37"/>
      <c r="E2" s="37"/>
      <c r="F2" s="36"/>
      <c r="G2" s="36"/>
    </row>
    <row r="3" spans="1:7" s="39" customFormat="1" ht="5.25" customHeight="1" thickBot="1" x14ac:dyDescent="0.25">
      <c r="A3" s="38"/>
      <c r="B3" s="38"/>
      <c r="C3" s="38"/>
      <c r="D3" s="38"/>
      <c r="E3" s="38"/>
      <c r="F3" s="38"/>
    </row>
    <row r="4" spans="1:7" s="42" customFormat="1" ht="24.75" customHeight="1" thickTop="1" thickBot="1" x14ac:dyDescent="0.25">
      <c r="A4" s="40" t="s">
        <v>104</v>
      </c>
      <c r="B4" s="40"/>
      <c r="C4" s="40"/>
      <c r="D4" s="40"/>
      <c r="E4" s="40"/>
      <c r="F4" s="40"/>
      <c r="G4" s="269"/>
    </row>
    <row r="5" spans="1:7" s="44" customFormat="1" ht="8.25" customHeight="1" thickTop="1" x14ac:dyDescent="0.2">
      <c r="A5" s="43"/>
      <c r="B5" s="43"/>
      <c r="C5" s="43"/>
      <c r="D5" s="43"/>
      <c r="E5" s="43"/>
      <c r="F5" s="43"/>
    </row>
    <row r="6" spans="1:7" ht="21" thickBot="1" x14ac:dyDescent="0.35">
      <c r="A6" s="45"/>
      <c r="B6" s="98" t="s">
        <v>548</v>
      </c>
      <c r="C6" s="98"/>
      <c r="D6" s="98"/>
      <c r="E6" s="98"/>
      <c r="F6" s="98"/>
      <c r="G6" s="187"/>
    </row>
    <row r="7" spans="1:7" ht="20.25" x14ac:dyDescent="0.3">
      <c r="A7" s="45"/>
      <c r="B7" s="45"/>
      <c r="C7" s="572" t="s">
        <v>553</v>
      </c>
      <c r="D7" s="45"/>
      <c r="E7" s="45"/>
      <c r="F7" s="45"/>
      <c r="G7" s="573">
        <v>28150</v>
      </c>
    </row>
    <row r="8" spans="1:7" ht="20.25" x14ac:dyDescent="0.3">
      <c r="A8" s="45"/>
      <c r="B8" s="45"/>
      <c r="C8" s="572" t="s">
        <v>18</v>
      </c>
      <c r="D8" s="45"/>
      <c r="E8" s="45"/>
      <c r="F8" s="45"/>
      <c r="G8" s="574">
        <v>700</v>
      </c>
    </row>
    <row r="9" spans="1:7" s="44" customFormat="1" ht="20.25" x14ac:dyDescent="0.2">
      <c r="A9" s="43"/>
      <c r="B9" s="43"/>
      <c r="C9" s="47" t="s">
        <v>546</v>
      </c>
      <c r="D9" s="47"/>
      <c r="E9" s="47"/>
      <c r="F9" s="43"/>
      <c r="G9" s="575">
        <v>350</v>
      </c>
    </row>
    <row r="10" spans="1:7" s="44" customFormat="1" ht="21" thickBot="1" x14ac:dyDescent="0.25">
      <c r="A10" s="43"/>
      <c r="B10" s="43"/>
      <c r="C10" s="47"/>
      <c r="D10" s="43" t="s">
        <v>547</v>
      </c>
      <c r="E10" s="47"/>
      <c r="F10" s="43"/>
      <c r="G10" s="576">
        <f>SUM(G7:G9)</f>
        <v>29200</v>
      </c>
    </row>
    <row r="11" spans="1:7" s="44" customFormat="1" ht="6" customHeight="1" x14ac:dyDescent="0.2">
      <c r="A11" s="43"/>
      <c r="B11" s="43"/>
      <c r="C11" s="47"/>
      <c r="D11" s="43"/>
      <c r="E11" s="47"/>
      <c r="F11" s="43"/>
      <c r="G11" s="577"/>
    </row>
    <row r="12" spans="1:7" s="44" customFormat="1" ht="21" thickBot="1" x14ac:dyDescent="0.25">
      <c r="A12" s="43"/>
      <c r="B12" s="55" t="s">
        <v>107</v>
      </c>
      <c r="C12" s="55"/>
      <c r="D12" s="55"/>
      <c r="E12" s="55"/>
      <c r="F12" s="55"/>
      <c r="G12" s="578"/>
    </row>
    <row r="13" spans="1:7" s="44" customFormat="1" ht="20.25" x14ac:dyDescent="0.2">
      <c r="A13" s="43"/>
      <c r="B13" s="43"/>
      <c r="C13" s="47" t="s">
        <v>112</v>
      </c>
      <c r="D13" s="47"/>
      <c r="E13" s="47"/>
      <c r="F13" s="47"/>
      <c r="G13" s="577">
        <v>358</v>
      </c>
    </row>
    <row r="14" spans="1:7" s="44" customFormat="1" ht="20.25" x14ac:dyDescent="0.2">
      <c r="A14" s="43"/>
      <c r="B14" s="43"/>
      <c r="C14" s="47" t="s">
        <v>539</v>
      </c>
      <c r="D14" s="47"/>
      <c r="E14" s="47"/>
      <c r="F14" s="47"/>
      <c r="G14" s="577">
        <f>138.88+23.62</f>
        <v>162.5</v>
      </c>
    </row>
    <row r="15" spans="1:7" s="44" customFormat="1" ht="20.25" x14ac:dyDescent="0.2">
      <c r="A15" s="43"/>
      <c r="B15" s="43"/>
      <c r="C15" s="47" t="s">
        <v>116</v>
      </c>
      <c r="D15" s="47"/>
      <c r="E15" s="47"/>
      <c r="F15" s="47"/>
      <c r="G15" s="577">
        <v>1038.6199999999999</v>
      </c>
    </row>
    <row r="16" spans="1:7" s="44" customFormat="1" ht="20.25" x14ac:dyDescent="0.2">
      <c r="A16" s="43"/>
      <c r="B16" s="43"/>
      <c r="C16" s="47" t="s">
        <v>549</v>
      </c>
      <c r="D16" s="47"/>
      <c r="E16" s="47"/>
      <c r="F16" s="47"/>
      <c r="G16" s="577">
        <v>50</v>
      </c>
    </row>
    <row r="17" spans="2:7" s="44" customFormat="1" ht="20.25" x14ac:dyDescent="0.2">
      <c r="B17" s="47"/>
      <c r="C17" s="47" t="s">
        <v>550</v>
      </c>
      <c r="D17" s="47"/>
      <c r="E17" s="47"/>
      <c r="F17" s="47"/>
      <c r="G17" s="577">
        <f>2872.5</f>
        <v>2872.5</v>
      </c>
    </row>
    <row r="18" spans="2:7" s="44" customFormat="1" ht="20.25" x14ac:dyDescent="0.2">
      <c r="B18" s="47"/>
      <c r="C18" s="47" t="s">
        <v>551</v>
      </c>
      <c r="D18" s="47"/>
      <c r="E18" s="47"/>
      <c r="F18" s="47"/>
      <c r="G18" s="577">
        <v>48</v>
      </c>
    </row>
    <row r="19" spans="2:7" s="44" customFormat="1" ht="20.25" x14ac:dyDescent="0.2">
      <c r="B19" s="47"/>
      <c r="C19" s="47" t="s">
        <v>540</v>
      </c>
      <c r="D19" s="47"/>
      <c r="E19" s="47"/>
      <c r="F19" s="47"/>
      <c r="G19" s="577">
        <v>10125</v>
      </c>
    </row>
    <row r="20" spans="2:7" s="44" customFormat="1" ht="20.25" hidden="1" x14ac:dyDescent="0.2">
      <c r="B20" s="47"/>
      <c r="C20" s="47"/>
      <c r="D20" s="47"/>
      <c r="E20" s="47"/>
      <c r="F20" s="47"/>
      <c r="G20" s="577"/>
    </row>
    <row r="21" spans="2:7" s="44" customFormat="1" ht="20.25" x14ac:dyDescent="0.2">
      <c r="B21" s="43"/>
      <c r="C21" s="43"/>
      <c r="D21" s="43" t="s">
        <v>124</v>
      </c>
      <c r="E21" s="43"/>
      <c r="F21" s="43"/>
      <c r="G21" s="579">
        <f>SUM(G13:G19)</f>
        <v>14654.619999999999</v>
      </c>
    </row>
    <row r="22" spans="2:7" s="44" customFormat="1" ht="10.5" customHeight="1" x14ac:dyDescent="0.2">
      <c r="B22" s="43"/>
      <c r="C22" s="43"/>
      <c r="D22" s="43"/>
      <c r="E22" s="43"/>
      <c r="F22" s="43"/>
      <c r="G22" s="151"/>
    </row>
    <row r="23" spans="2:7" s="44" customFormat="1" ht="20.25" x14ac:dyDescent="0.2">
      <c r="B23" s="43"/>
      <c r="C23" s="43"/>
      <c r="D23" s="580" t="s">
        <v>552</v>
      </c>
      <c r="E23" s="580"/>
      <c r="F23" s="580"/>
      <c r="G23" s="159">
        <f>G10-G21</f>
        <v>14545.380000000001</v>
      </c>
    </row>
  </sheetData>
  <pageMargins left="0.7" right="0.7" top="0.75" bottom="0.75" header="0.3" footer="0.3"/>
  <pageSetup orientation="portrait" horizontalDpi="0" verticalDpi="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D71"/>
  <sheetViews>
    <sheetView zoomScale="75" zoomScaleNormal="75" workbookViewId="0">
      <pane xSplit="9" ySplit="8" topLeftCell="J9" activePane="bottomRight" state="frozen"/>
      <selection pane="topRight" activeCell="J1" sqref="J1"/>
      <selection pane="bottomLeft" activeCell="A9" sqref="A9"/>
      <selection pane="bottomRight" activeCell="Q72" sqref="Q72"/>
    </sheetView>
  </sheetViews>
  <sheetFormatPr defaultRowHeight="14.25" x14ac:dyDescent="0.2"/>
  <cols>
    <col min="1" max="1" width="2.875" style="34" customWidth="1"/>
    <col min="2" max="2" width="8.125" style="34" customWidth="1"/>
    <col min="3" max="3" width="8.75" style="34" customWidth="1"/>
    <col min="4" max="4" width="5.75" style="34" customWidth="1"/>
    <col min="5" max="5" width="2.875" style="34" customWidth="1"/>
    <col min="6" max="6" width="45.625" style="34" customWidth="1"/>
    <col min="7" max="7" width="22.25" style="148" hidden="1" customWidth="1"/>
    <col min="8" max="8" width="23.125" hidden="1" customWidth="1"/>
    <col min="9" max="9" width="1.625" customWidth="1"/>
    <col min="10" max="10" width="26.875" customWidth="1"/>
    <col min="11" max="11" width="24.5" customWidth="1"/>
    <col min="12" max="12" width="1.625" customWidth="1"/>
    <col min="13" max="13" width="23.125" hidden="1" customWidth="1"/>
    <col min="14" max="14" width="1.75" hidden="1" customWidth="1"/>
    <col min="15" max="15" width="21.625" customWidth="1"/>
    <col min="16" max="16" width="1.75" customWidth="1"/>
    <col min="17" max="17" width="15.25" bestFit="1" customWidth="1"/>
    <col min="18" max="18" width="10.625" style="3" customWidth="1"/>
    <col min="20" max="20" width="0" hidden="1" customWidth="1"/>
    <col min="21" max="21" width="26.875" hidden="1" customWidth="1"/>
    <col min="22" max="22" width="63.375" hidden="1" customWidth="1"/>
    <col min="23" max="24" width="22.375" hidden="1" customWidth="1"/>
    <col min="25" max="25" width="22.5" hidden="1" customWidth="1"/>
    <col min="26" max="26" width="9.625" hidden="1" customWidth="1"/>
    <col min="27" max="27" width="12.5" hidden="1" customWidth="1"/>
    <col min="28" max="30" width="0" hidden="1" customWidth="1"/>
    <col min="33" max="33" width="10.75" bestFit="1" customWidth="1"/>
    <col min="259" max="259" width="2.875" customWidth="1"/>
    <col min="260" max="260" width="8.125" customWidth="1"/>
    <col min="261" max="261" width="8.75" customWidth="1"/>
    <col min="262" max="262" width="11" customWidth="1"/>
    <col min="263" max="263" width="2.875" customWidth="1"/>
    <col min="264" max="264" width="77.625" customWidth="1"/>
    <col min="265" max="265" width="20.875" customWidth="1"/>
    <col min="515" max="515" width="2.875" customWidth="1"/>
    <col min="516" max="516" width="8.125" customWidth="1"/>
    <col min="517" max="517" width="8.75" customWidth="1"/>
    <col min="518" max="518" width="11" customWidth="1"/>
    <col min="519" max="519" width="2.875" customWidth="1"/>
    <col min="520" max="520" width="77.625" customWidth="1"/>
    <col min="521" max="521" width="20.875" customWidth="1"/>
    <col min="771" max="771" width="2.875" customWidth="1"/>
    <col min="772" max="772" width="8.125" customWidth="1"/>
    <col min="773" max="773" width="8.75" customWidth="1"/>
    <col min="774" max="774" width="11" customWidth="1"/>
    <col min="775" max="775" width="2.875" customWidth="1"/>
    <col min="776" max="776" width="77.625" customWidth="1"/>
    <col min="777" max="777" width="20.875" customWidth="1"/>
    <col min="1027" max="1027" width="2.875" customWidth="1"/>
    <col min="1028" max="1028" width="8.125" customWidth="1"/>
    <col min="1029" max="1029" width="8.75" customWidth="1"/>
    <col min="1030" max="1030" width="11" customWidth="1"/>
    <col min="1031" max="1031" width="2.875" customWidth="1"/>
    <col min="1032" max="1032" width="77.625" customWidth="1"/>
    <col min="1033" max="1033" width="20.875" customWidth="1"/>
    <col min="1283" max="1283" width="2.875" customWidth="1"/>
    <col min="1284" max="1284" width="8.125" customWidth="1"/>
    <col min="1285" max="1285" width="8.75" customWidth="1"/>
    <col min="1286" max="1286" width="11" customWidth="1"/>
    <col min="1287" max="1287" width="2.875" customWidth="1"/>
    <col min="1288" max="1288" width="77.625" customWidth="1"/>
    <col min="1289" max="1289" width="20.875" customWidth="1"/>
    <col min="1539" max="1539" width="2.875" customWidth="1"/>
    <col min="1540" max="1540" width="8.125" customWidth="1"/>
    <col min="1541" max="1541" width="8.75" customWidth="1"/>
    <col min="1542" max="1542" width="11" customWidth="1"/>
    <col min="1543" max="1543" width="2.875" customWidth="1"/>
    <col min="1544" max="1544" width="77.625" customWidth="1"/>
    <col min="1545" max="1545" width="20.875" customWidth="1"/>
    <col min="1795" max="1795" width="2.875" customWidth="1"/>
    <col min="1796" max="1796" width="8.125" customWidth="1"/>
    <col min="1797" max="1797" width="8.75" customWidth="1"/>
    <col min="1798" max="1798" width="11" customWidth="1"/>
    <col min="1799" max="1799" width="2.875" customWidth="1"/>
    <col min="1800" max="1800" width="77.625" customWidth="1"/>
    <col min="1801" max="1801" width="20.875" customWidth="1"/>
    <col min="2051" max="2051" width="2.875" customWidth="1"/>
    <col min="2052" max="2052" width="8.125" customWidth="1"/>
    <col min="2053" max="2053" width="8.75" customWidth="1"/>
    <col min="2054" max="2054" width="11" customWidth="1"/>
    <col min="2055" max="2055" width="2.875" customWidth="1"/>
    <col min="2056" max="2056" width="77.625" customWidth="1"/>
    <col min="2057" max="2057" width="20.875" customWidth="1"/>
    <col min="2307" max="2307" width="2.875" customWidth="1"/>
    <col min="2308" max="2308" width="8.125" customWidth="1"/>
    <col min="2309" max="2309" width="8.75" customWidth="1"/>
    <col min="2310" max="2310" width="11" customWidth="1"/>
    <col min="2311" max="2311" width="2.875" customWidth="1"/>
    <col min="2312" max="2312" width="77.625" customWidth="1"/>
    <col min="2313" max="2313" width="20.875" customWidth="1"/>
    <col min="2563" max="2563" width="2.875" customWidth="1"/>
    <col min="2564" max="2564" width="8.125" customWidth="1"/>
    <col min="2565" max="2565" width="8.75" customWidth="1"/>
    <col min="2566" max="2566" width="11" customWidth="1"/>
    <col min="2567" max="2567" width="2.875" customWidth="1"/>
    <col min="2568" max="2568" width="77.625" customWidth="1"/>
    <col min="2569" max="2569" width="20.875" customWidth="1"/>
    <col min="2819" max="2819" width="2.875" customWidth="1"/>
    <col min="2820" max="2820" width="8.125" customWidth="1"/>
    <col min="2821" max="2821" width="8.75" customWidth="1"/>
    <col min="2822" max="2822" width="11" customWidth="1"/>
    <col min="2823" max="2823" width="2.875" customWidth="1"/>
    <col min="2824" max="2824" width="77.625" customWidth="1"/>
    <col min="2825" max="2825" width="20.875" customWidth="1"/>
    <col min="3075" max="3075" width="2.875" customWidth="1"/>
    <col min="3076" max="3076" width="8.125" customWidth="1"/>
    <col min="3077" max="3077" width="8.75" customWidth="1"/>
    <col min="3078" max="3078" width="11" customWidth="1"/>
    <col min="3079" max="3079" width="2.875" customWidth="1"/>
    <col min="3080" max="3080" width="77.625" customWidth="1"/>
    <col min="3081" max="3081" width="20.875" customWidth="1"/>
    <col min="3331" max="3331" width="2.875" customWidth="1"/>
    <col min="3332" max="3332" width="8.125" customWidth="1"/>
    <col min="3333" max="3333" width="8.75" customWidth="1"/>
    <col min="3334" max="3334" width="11" customWidth="1"/>
    <col min="3335" max="3335" width="2.875" customWidth="1"/>
    <col min="3336" max="3336" width="77.625" customWidth="1"/>
    <col min="3337" max="3337" width="20.875" customWidth="1"/>
    <col min="3587" max="3587" width="2.875" customWidth="1"/>
    <col min="3588" max="3588" width="8.125" customWidth="1"/>
    <col min="3589" max="3589" width="8.75" customWidth="1"/>
    <col min="3590" max="3590" width="11" customWidth="1"/>
    <col min="3591" max="3591" width="2.875" customWidth="1"/>
    <col min="3592" max="3592" width="77.625" customWidth="1"/>
    <col min="3593" max="3593" width="20.875" customWidth="1"/>
    <col min="3843" max="3843" width="2.875" customWidth="1"/>
    <col min="3844" max="3844" width="8.125" customWidth="1"/>
    <col min="3845" max="3845" width="8.75" customWidth="1"/>
    <col min="3846" max="3846" width="11" customWidth="1"/>
    <col min="3847" max="3847" width="2.875" customWidth="1"/>
    <col min="3848" max="3848" width="77.625" customWidth="1"/>
    <col min="3849" max="3849" width="20.875" customWidth="1"/>
    <col min="4099" max="4099" width="2.875" customWidth="1"/>
    <col min="4100" max="4100" width="8.125" customWidth="1"/>
    <col min="4101" max="4101" width="8.75" customWidth="1"/>
    <col min="4102" max="4102" width="11" customWidth="1"/>
    <col min="4103" max="4103" width="2.875" customWidth="1"/>
    <col min="4104" max="4104" width="77.625" customWidth="1"/>
    <col min="4105" max="4105" width="20.875" customWidth="1"/>
    <col min="4355" max="4355" width="2.875" customWidth="1"/>
    <col min="4356" max="4356" width="8.125" customWidth="1"/>
    <col min="4357" max="4357" width="8.75" customWidth="1"/>
    <col min="4358" max="4358" width="11" customWidth="1"/>
    <col min="4359" max="4359" width="2.875" customWidth="1"/>
    <col min="4360" max="4360" width="77.625" customWidth="1"/>
    <col min="4361" max="4361" width="20.875" customWidth="1"/>
    <col min="4611" max="4611" width="2.875" customWidth="1"/>
    <col min="4612" max="4612" width="8.125" customWidth="1"/>
    <col min="4613" max="4613" width="8.75" customWidth="1"/>
    <col min="4614" max="4614" width="11" customWidth="1"/>
    <col min="4615" max="4615" width="2.875" customWidth="1"/>
    <col min="4616" max="4616" width="77.625" customWidth="1"/>
    <col min="4617" max="4617" width="20.875" customWidth="1"/>
    <col min="4867" max="4867" width="2.875" customWidth="1"/>
    <col min="4868" max="4868" width="8.125" customWidth="1"/>
    <col min="4869" max="4869" width="8.75" customWidth="1"/>
    <col min="4870" max="4870" width="11" customWidth="1"/>
    <col min="4871" max="4871" width="2.875" customWidth="1"/>
    <col min="4872" max="4872" width="77.625" customWidth="1"/>
    <col min="4873" max="4873" width="20.875" customWidth="1"/>
    <col min="5123" max="5123" width="2.875" customWidth="1"/>
    <col min="5124" max="5124" width="8.125" customWidth="1"/>
    <col min="5125" max="5125" width="8.75" customWidth="1"/>
    <col min="5126" max="5126" width="11" customWidth="1"/>
    <col min="5127" max="5127" width="2.875" customWidth="1"/>
    <col min="5128" max="5128" width="77.625" customWidth="1"/>
    <col min="5129" max="5129" width="20.875" customWidth="1"/>
    <col min="5379" max="5379" width="2.875" customWidth="1"/>
    <col min="5380" max="5380" width="8.125" customWidth="1"/>
    <col min="5381" max="5381" width="8.75" customWidth="1"/>
    <col min="5382" max="5382" width="11" customWidth="1"/>
    <col min="5383" max="5383" width="2.875" customWidth="1"/>
    <col min="5384" max="5384" width="77.625" customWidth="1"/>
    <col min="5385" max="5385" width="20.875" customWidth="1"/>
    <col min="5635" max="5635" width="2.875" customWidth="1"/>
    <col min="5636" max="5636" width="8.125" customWidth="1"/>
    <col min="5637" max="5637" width="8.75" customWidth="1"/>
    <col min="5638" max="5638" width="11" customWidth="1"/>
    <col min="5639" max="5639" width="2.875" customWidth="1"/>
    <col min="5640" max="5640" width="77.625" customWidth="1"/>
    <col min="5641" max="5641" width="20.875" customWidth="1"/>
    <col min="5891" max="5891" width="2.875" customWidth="1"/>
    <col min="5892" max="5892" width="8.125" customWidth="1"/>
    <col min="5893" max="5893" width="8.75" customWidth="1"/>
    <col min="5894" max="5894" width="11" customWidth="1"/>
    <col min="5895" max="5895" width="2.875" customWidth="1"/>
    <col min="5896" max="5896" width="77.625" customWidth="1"/>
    <col min="5897" max="5897" width="20.875" customWidth="1"/>
    <col min="6147" max="6147" width="2.875" customWidth="1"/>
    <col min="6148" max="6148" width="8.125" customWidth="1"/>
    <col min="6149" max="6149" width="8.75" customWidth="1"/>
    <col min="6150" max="6150" width="11" customWidth="1"/>
    <col min="6151" max="6151" width="2.875" customWidth="1"/>
    <col min="6152" max="6152" width="77.625" customWidth="1"/>
    <col min="6153" max="6153" width="20.875" customWidth="1"/>
    <col min="6403" max="6403" width="2.875" customWidth="1"/>
    <col min="6404" max="6404" width="8.125" customWidth="1"/>
    <col min="6405" max="6405" width="8.75" customWidth="1"/>
    <col min="6406" max="6406" width="11" customWidth="1"/>
    <col min="6407" max="6407" width="2.875" customWidth="1"/>
    <col min="6408" max="6408" width="77.625" customWidth="1"/>
    <col min="6409" max="6409" width="20.875" customWidth="1"/>
    <col min="6659" max="6659" width="2.875" customWidth="1"/>
    <col min="6660" max="6660" width="8.125" customWidth="1"/>
    <col min="6661" max="6661" width="8.75" customWidth="1"/>
    <col min="6662" max="6662" width="11" customWidth="1"/>
    <col min="6663" max="6663" width="2.875" customWidth="1"/>
    <col min="6664" max="6664" width="77.625" customWidth="1"/>
    <col min="6665" max="6665" width="20.875" customWidth="1"/>
    <col min="6915" max="6915" width="2.875" customWidth="1"/>
    <col min="6916" max="6916" width="8.125" customWidth="1"/>
    <col min="6917" max="6917" width="8.75" customWidth="1"/>
    <col min="6918" max="6918" width="11" customWidth="1"/>
    <col min="6919" max="6919" width="2.875" customWidth="1"/>
    <col min="6920" max="6920" width="77.625" customWidth="1"/>
    <col min="6921" max="6921" width="20.875" customWidth="1"/>
    <col min="7171" max="7171" width="2.875" customWidth="1"/>
    <col min="7172" max="7172" width="8.125" customWidth="1"/>
    <col min="7173" max="7173" width="8.75" customWidth="1"/>
    <col min="7174" max="7174" width="11" customWidth="1"/>
    <col min="7175" max="7175" width="2.875" customWidth="1"/>
    <col min="7176" max="7176" width="77.625" customWidth="1"/>
    <col min="7177" max="7177" width="20.875" customWidth="1"/>
    <col min="7427" max="7427" width="2.875" customWidth="1"/>
    <col min="7428" max="7428" width="8.125" customWidth="1"/>
    <col min="7429" max="7429" width="8.75" customWidth="1"/>
    <col min="7430" max="7430" width="11" customWidth="1"/>
    <col min="7431" max="7431" width="2.875" customWidth="1"/>
    <col min="7432" max="7432" width="77.625" customWidth="1"/>
    <col min="7433" max="7433" width="20.875" customWidth="1"/>
    <col min="7683" max="7683" width="2.875" customWidth="1"/>
    <col min="7684" max="7684" width="8.125" customWidth="1"/>
    <col min="7685" max="7685" width="8.75" customWidth="1"/>
    <col min="7686" max="7686" width="11" customWidth="1"/>
    <col min="7687" max="7687" width="2.875" customWidth="1"/>
    <col min="7688" max="7688" width="77.625" customWidth="1"/>
    <col min="7689" max="7689" width="20.875" customWidth="1"/>
    <col min="7939" max="7939" width="2.875" customWidth="1"/>
    <col min="7940" max="7940" width="8.125" customWidth="1"/>
    <col min="7941" max="7941" width="8.75" customWidth="1"/>
    <col min="7942" max="7942" width="11" customWidth="1"/>
    <col min="7943" max="7943" width="2.875" customWidth="1"/>
    <col min="7944" max="7944" width="77.625" customWidth="1"/>
    <col min="7945" max="7945" width="20.875" customWidth="1"/>
    <col min="8195" max="8195" width="2.875" customWidth="1"/>
    <col min="8196" max="8196" width="8.125" customWidth="1"/>
    <col min="8197" max="8197" width="8.75" customWidth="1"/>
    <col min="8198" max="8198" width="11" customWidth="1"/>
    <col min="8199" max="8199" width="2.875" customWidth="1"/>
    <col min="8200" max="8200" width="77.625" customWidth="1"/>
    <col min="8201" max="8201" width="20.875" customWidth="1"/>
    <col min="8451" max="8451" width="2.875" customWidth="1"/>
    <col min="8452" max="8452" width="8.125" customWidth="1"/>
    <col min="8453" max="8453" width="8.75" customWidth="1"/>
    <col min="8454" max="8454" width="11" customWidth="1"/>
    <col min="8455" max="8455" width="2.875" customWidth="1"/>
    <col min="8456" max="8456" width="77.625" customWidth="1"/>
    <col min="8457" max="8457" width="20.875" customWidth="1"/>
    <col min="8707" max="8707" width="2.875" customWidth="1"/>
    <col min="8708" max="8708" width="8.125" customWidth="1"/>
    <col min="8709" max="8709" width="8.75" customWidth="1"/>
    <col min="8710" max="8710" width="11" customWidth="1"/>
    <col min="8711" max="8711" width="2.875" customWidth="1"/>
    <col min="8712" max="8712" width="77.625" customWidth="1"/>
    <col min="8713" max="8713" width="20.875" customWidth="1"/>
    <col min="8963" max="8963" width="2.875" customWidth="1"/>
    <col min="8964" max="8964" width="8.125" customWidth="1"/>
    <col min="8965" max="8965" width="8.75" customWidth="1"/>
    <col min="8966" max="8966" width="11" customWidth="1"/>
    <col min="8967" max="8967" width="2.875" customWidth="1"/>
    <col min="8968" max="8968" width="77.625" customWidth="1"/>
    <col min="8969" max="8969" width="20.875" customWidth="1"/>
    <col min="9219" max="9219" width="2.875" customWidth="1"/>
    <col min="9220" max="9220" width="8.125" customWidth="1"/>
    <col min="9221" max="9221" width="8.75" customWidth="1"/>
    <col min="9222" max="9222" width="11" customWidth="1"/>
    <col min="9223" max="9223" width="2.875" customWidth="1"/>
    <col min="9224" max="9224" width="77.625" customWidth="1"/>
    <col min="9225" max="9225" width="20.875" customWidth="1"/>
    <col min="9475" max="9475" width="2.875" customWidth="1"/>
    <col min="9476" max="9476" width="8.125" customWidth="1"/>
    <col min="9477" max="9477" width="8.75" customWidth="1"/>
    <col min="9478" max="9478" width="11" customWidth="1"/>
    <col min="9479" max="9479" width="2.875" customWidth="1"/>
    <col min="9480" max="9480" width="77.625" customWidth="1"/>
    <col min="9481" max="9481" width="20.875" customWidth="1"/>
    <col min="9731" max="9731" width="2.875" customWidth="1"/>
    <col min="9732" max="9732" width="8.125" customWidth="1"/>
    <col min="9733" max="9733" width="8.75" customWidth="1"/>
    <col min="9734" max="9734" width="11" customWidth="1"/>
    <col min="9735" max="9735" width="2.875" customWidth="1"/>
    <col min="9736" max="9736" width="77.625" customWidth="1"/>
    <col min="9737" max="9737" width="20.875" customWidth="1"/>
    <col min="9987" max="9987" width="2.875" customWidth="1"/>
    <col min="9988" max="9988" width="8.125" customWidth="1"/>
    <col min="9989" max="9989" width="8.75" customWidth="1"/>
    <col min="9990" max="9990" width="11" customWidth="1"/>
    <col min="9991" max="9991" width="2.875" customWidth="1"/>
    <col min="9992" max="9992" width="77.625" customWidth="1"/>
    <col min="9993" max="9993" width="20.875" customWidth="1"/>
    <col min="10243" max="10243" width="2.875" customWidth="1"/>
    <col min="10244" max="10244" width="8.125" customWidth="1"/>
    <col min="10245" max="10245" width="8.75" customWidth="1"/>
    <col min="10246" max="10246" width="11" customWidth="1"/>
    <col min="10247" max="10247" width="2.875" customWidth="1"/>
    <col min="10248" max="10248" width="77.625" customWidth="1"/>
    <col min="10249" max="10249" width="20.875" customWidth="1"/>
    <col min="10499" max="10499" width="2.875" customWidth="1"/>
    <col min="10500" max="10500" width="8.125" customWidth="1"/>
    <col min="10501" max="10501" width="8.75" customWidth="1"/>
    <col min="10502" max="10502" width="11" customWidth="1"/>
    <col min="10503" max="10503" width="2.875" customWidth="1"/>
    <col min="10504" max="10504" width="77.625" customWidth="1"/>
    <col min="10505" max="10505" width="20.875" customWidth="1"/>
    <col min="10755" max="10755" width="2.875" customWidth="1"/>
    <col min="10756" max="10756" width="8.125" customWidth="1"/>
    <col min="10757" max="10757" width="8.75" customWidth="1"/>
    <col min="10758" max="10758" width="11" customWidth="1"/>
    <col min="10759" max="10759" width="2.875" customWidth="1"/>
    <col min="10760" max="10760" width="77.625" customWidth="1"/>
    <col min="10761" max="10761" width="20.875" customWidth="1"/>
    <col min="11011" max="11011" width="2.875" customWidth="1"/>
    <col min="11012" max="11012" width="8.125" customWidth="1"/>
    <col min="11013" max="11013" width="8.75" customWidth="1"/>
    <col min="11014" max="11014" width="11" customWidth="1"/>
    <col min="11015" max="11015" width="2.875" customWidth="1"/>
    <col min="11016" max="11016" width="77.625" customWidth="1"/>
    <col min="11017" max="11017" width="20.875" customWidth="1"/>
    <col min="11267" max="11267" width="2.875" customWidth="1"/>
    <col min="11268" max="11268" width="8.125" customWidth="1"/>
    <col min="11269" max="11269" width="8.75" customWidth="1"/>
    <col min="11270" max="11270" width="11" customWidth="1"/>
    <col min="11271" max="11271" width="2.875" customWidth="1"/>
    <col min="11272" max="11272" width="77.625" customWidth="1"/>
    <col min="11273" max="11273" width="20.875" customWidth="1"/>
    <col min="11523" max="11523" width="2.875" customWidth="1"/>
    <col min="11524" max="11524" width="8.125" customWidth="1"/>
    <col min="11525" max="11525" width="8.75" customWidth="1"/>
    <col min="11526" max="11526" width="11" customWidth="1"/>
    <col min="11527" max="11527" width="2.875" customWidth="1"/>
    <col min="11528" max="11528" width="77.625" customWidth="1"/>
    <col min="11529" max="11529" width="20.875" customWidth="1"/>
    <col min="11779" max="11779" width="2.875" customWidth="1"/>
    <col min="11780" max="11780" width="8.125" customWidth="1"/>
    <col min="11781" max="11781" width="8.75" customWidth="1"/>
    <col min="11782" max="11782" width="11" customWidth="1"/>
    <col min="11783" max="11783" width="2.875" customWidth="1"/>
    <col min="11784" max="11784" width="77.625" customWidth="1"/>
    <col min="11785" max="11785" width="20.875" customWidth="1"/>
    <col min="12035" max="12035" width="2.875" customWidth="1"/>
    <col min="12036" max="12036" width="8.125" customWidth="1"/>
    <col min="12037" max="12037" width="8.75" customWidth="1"/>
    <col min="12038" max="12038" width="11" customWidth="1"/>
    <col min="12039" max="12039" width="2.875" customWidth="1"/>
    <col min="12040" max="12040" width="77.625" customWidth="1"/>
    <col min="12041" max="12041" width="20.875" customWidth="1"/>
    <col min="12291" max="12291" width="2.875" customWidth="1"/>
    <col min="12292" max="12292" width="8.125" customWidth="1"/>
    <col min="12293" max="12293" width="8.75" customWidth="1"/>
    <col min="12294" max="12294" width="11" customWidth="1"/>
    <col min="12295" max="12295" width="2.875" customWidth="1"/>
    <col min="12296" max="12296" width="77.625" customWidth="1"/>
    <col min="12297" max="12297" width="20.875" customWidth="1"/>
    <col min="12547" max="12547" width="2.875" customWidth="1"/>
    <col min="12548" max="12548" width="8.125" customWidth="1"/>
    <col min="12549" max="12549" width="8.75" customWidth="1"/>
    <col min="12550" max="12550" width="11" customWidth="1"/>
    <col min="12551" max="12551" width="2.875" customWidth="1"/>
    <col min="12552" max="12552" width="77.625" customWidth="1"/>
    <col min="12553" max="12553" width="20.875" customWidth="1"/>
    <col min="12803" max="12803" width="2.875" customWidth="1"/>
    <col min="12804" max="12804" width="8.125" customWidth="1"/>
    <col min="12805" max="12805" width="8.75" customWidth="1"/>
    <col min="12806" max="12806" width="11" customWidth="1"/>
    <col min="12807" max="12807" width="2.875" customWidth="1"/>
    <col min="12808" max="12808" width="77.625" customWidth="1"/>
    <col min="12809" max="12809" width="20.875" customWidth="1"/>
    <col min="13059" max="13059" width="2.875" customWidth="1"/>
    <col min="13060" max="13060" width="8.125" customWidth="1"/>
    <col min="13061" max="13061" width="8.75" customWidth="1"/>
    <col min="13062" max="13062" width="11" customWidth="1"/>
    <col min="13063" max="13063" width="2.875" customWidth="1"/>
    <col min="13064" max="13064" width="77.625" customWidth="1"/>
    <col min="13065" max="13065" width="20.875" customWidth="1"/>
    <col min="13315" max="13315" width="2.875" customWidth="1"/>
    <col min="13316" max="13316" width="8.125" customWidth="1"/>
    <col min="13317" max="13317" width="8.75" customWidth="1"/>
    <col min="13318" max="13318" width="11" customWidth="1"/>
    <col min="13319" max="13319" width="2.875" customWidth="1"/>
    <col min="13320" max="13320" width="77.625" customWidth="1"/>
    <col min="13321" max="13321" width="20.875" customWidth="1"/>
    <col min="13571" max="13571" width="2.875" customWidth="1"/>
    <col min="13572" max="13572" width="8.125" customWidth="1"/>
    <col min="13573" max="13573" width="8.75" customWidth="1"/>
    <col min="13574" max="13574" width="11" customWidth="1"/>
    <col min="13575" max="13575" width="2.875" customWidth="1"/>
    <col min="13576" max="13576" width="77.625" customWidth="1"/>
    <col min="13577" max="13577" width="20.875" customWidth="1"/>
    <col min="13827" max="13827" width="2.875" customWidth="1"/>
    <col min="13828" max="13828" width="8.125" customWidth="1"/>
    <col min="13829" max="13829" width="8.75" customWidth="1"/>
    <col min="13830" max="13830" width="11" customWidth="1"/>
    <col min="13831" max="13831" width="2.875" customWidth="1"/>
    <col min="13832" max="13832" width="77.625" customWidth="1"/>
    <col min="13833" max="13833" width="20.875" customWidth="1"/>
    <col min="14083" max="14083" width="2.875" customWidth="1"/>
    <col min="14084" max="14084" width="8.125" customWidth="1"/>
    <col min="14085" max="14085" width="8.75" customWidth="1"/>
    <col min="14086" max="14086" width="11" customWidth="1"/>
    <col min="14087" max="14087" width="2.875" customWidth="1"/>
    <col min="14088" max="14088" width="77.625" customWidth="1"/>
    <col min="14089" max="14089" width="20.875" customWidth="1"/>
    <col min="14339" max="14339" width="2.875" customWidth="1"/>
    <col min="14340" max="14340" width="8.125" customWidth="1"/>
    <col min="14341" max="14341" width="8.75" customWidth="1"/>
    <col min="14342" max="14342" width="11" customWidth="1"/>
    <col min="14343" max="14343" width="2.875" customWidth="1"/>
    <col min="14344" max="14344" width="77.625" customWidth="1"/>
    <col min="14345" max="14345" width="20.875" customWidth="1"/>
    <col min="14595" max="14595" width="2.875" customWidth="1"/>
    <col min="14596" max="14596" width="8.125" customWidth="1"/>
    <col min="14597" max="14597" width="8.75" customWidth="1"/>
    <col min="14598" max="14598" width="11" customWidth="1"/>
    <col min="14599" max="14599" width="2.875" customWidth="1"/>
    <col min="14600" max="14600" width="77.625" customWidth="1"/>
    <col min="14601" max="14601" width="20.875" customWidth="1"/>
    <col min="14851" max="14851" width="2.875" customWidth="1"/>
    <col min="14852" max="14852" width="8.125" customWidth="1"/>
    <col min="14853" max="14853" width="8.75" customWidth="1"/>
    <col min="14854" max="14854" width="11" customWidth="1"/>
    <col min="14855" max="14855" width="2.875" customWidth="1"/>
    <col min="14856" max="14856" width="77.625" customWidth="1"/>
    <col min="14857" max="14857" width="20.875" customWidth="1"/>
    <col min="15107" max="15107" width="2.875" customWidth="1"/>
    <col min="15108" max="15108" width="8.125" customWidth="1"/>
    <col min="15109" max="15109" width="8.75" customWidth="1"/>
    <col min="15110" max="15110" width="11" customWidth="1"/>
    <col min="15111" max="15111" width="2.875" customWidth="1"/>
    <col min="15112" max="15112" width="77.625" customWidth="1"/>
    <col min="15113" max="15113" width="20.875" customWidth="1"/>
    <col min="15363" max="15363" width="2.875" customWidth="1"/>
    <col min="15364" max="15364" width="8.125" customWidth="1"/>
    <col min="15365" max="15365" width="8.75" customWidth="1"/>
    <col min="15366" max="15366" width="11" customWidth="1"/>
    <col min="15367" max="15367" width="2.875" customWidth="1"/>
    <col min="15368" max="15368" width="77.625" customWidth="1"/>
    <col min="15369" max="15369" width="20.875" customWidth="1"/>
    <col min="15619" max="15619" width="2.875" customWidth="1"/>
    <col min="15620" max="15620" width="8.125" customWidth="1"/>
    <col min="15621" max="15621" width="8.75" customWidth="1"/>
    <col min="15622" max="15622" width="11" customWidth="1"/>
    <col min="15623" max="15623" width="2.875" customWidth="1"/>
    <col min="15624" max="15624" width="77.625" customWidth="1"/>
    <col min="15625" max="15625" width="20.875" customWidth="1"/>
    <col min="15875" max="15875" width="2.875" customWidth="1"/>
    <col min="15876" max="15876" width="8.125" customWidth="1"/>
    <col min="15877" max="15877" width="8.75" customWidth="1"/>
    <col min="15878" max="15878" width="11" customWidth="1"/>
    <col min="15879" max="15879" width="2.875" customWidth="1"/>
    <col min="15880" max="15880" width="77.625" customWidth="1"/>
    <col min="15881" max="15881" width="20.875" customWidth="1"/>
    <col min="16131" max="16131" width="2.875" customWidth="1"/>
    <col min="16132" max="16132" width="8.125" customWidth="1"/>
    <col min="16133" max="16133" width="8.75" customWidth="1"/>
    <col min="16134" max="16134" width="11" customWidth="1"/>
    <col min="16135" max="16135" width="2.875" customWidth="1"/>
    <col min="16136" max="16136" width="77.625" customWidth="1"/>
    <col min="16137" max="16137" width="20.875" customWidth="1"/>
  </cols>
  <sheetData>
    <row r="1" spans="1:28" ht="22.5" customHeight="1" x14ac:dyDescent="0.4">
      <c r="A1" s="35" t="s">
        <v>90</v>
      </c>
      <c r="B1" s="36"/>
      <c r="C1" s="37"/>
      <c r="D1" s="37"/>
      <c r="E1" s="37"/>
      <c r="F1" s="36"/>
      <c r="G1" s="149"/>
      <c r="H1" s="36"/>
      <c r="I1" s="36"/>
      <c r="J1" s="36"/>
      <c r="K1" s="36"/>
      <c r="L1" s="36"/>
      <c r="M1" s="36"/>
      <c r="N1" s="36"/>
      <c r="O1" s="36"/>
      <c r="P1" s="36"/>
      <c r="Q1" s="36"/>
      <c r="R1" s="37"/>
      <c r="S1" s="36"/>
      <c r="T1" s="36"/>
      <c r="U1" s="36"/>
      <c r="V1" s="35" t="s">
        <v>90</v>
      </c>
      <c r="X1" s="36"/>
      <c r="Y1" s="36"/>
      <c r="Z1" s="36"/>
      <c r="AA1" s="36"/>
      <c r="AB1" s="36"/>
    </row>
    <row r="2" spans="1:28" ht="22.5" customHeight="1" x14ac:dyDescent="0.4">
      <c r="A2" s="35" t="s">
        <v>206</v>
      </c>
      <c r="B2" s="36"/>
      <c r="C2" s="37"/>
      <c r="D2" s="37"/>
      <c r="E2" s="37"/>
      <c r="F2" s="36"/>
      <c r="G2" s="149"/>
      <c r="H2" s="36"/>
      <c r="I2" s="36"/>
      <c r="J2" s="36"/>
      <c r="K2" s="36"/>
      <c r="L2" s="36"/>
      <c r="M2" s="36"/>
      <c r="N2" s="36"/>
      <c r="O2" s="36"/>
      <c r="P2" s="36"/>
      <c r="Q2" s="36"/>
      <c r="R2" s="37"/>
      <c r="S2" s="36"/>
      <c r="T2" s="36"/>
      <c r="U2" s="36"/>
      <c r="V2" s="35" t="s">
        <v>206</v>
      </c>
      <c r="X2" s="36"/>
      <c r="Y2" s="36"/>
      <c r="Z2" s="36"/>
      <c r="AA2" s="36"/>
      <c r="AB2" s="36"/>
    </row>
    <row r="3" spans="1:28" ht="21.75" customHeight="1" x14ac:dyDescent="0.4">
      <c r="A3" s="35" t="str">
        <f>'February''25 State of Activities'!A3</f>
        <v>Two Months Ended February 28, 2025 and February 29, 2024</v>
      </c>
      <c r="B3" s="36"/>
      <c r="C3" s="37"/>
      <c r="D3" s="37"/>
      <c r="E3" s="37"/>
      <c r="F3" s="36"/>
      <c r="G3" s="149"/>
      <c r="H3" s="36"/>
      <c r="I3" s="36"/>
      <c r="J3" s="36"/>
      <c r="K3" s="36"/>
      <c r="L3" s="36"/>
      <c r="M3" s="36"/>
      <c r="N3" s="36"/>
      <c r="O3" s="36"/>
      <c r="P3" s="36"/>
      <c r="Q3" s="36"/>
      <c r="R3" s="37"/>
      <c r="S3" s="36"/>
      <c r="T3" s="36"/>
      <c r="U3" s="36"/>
      <c r="V3" s="35" t="s">
        <v>677</v>
      </c>
      <c r="W3" s="36"/>
      <c r="X3" s="36"/>
      <c r="Y3" s="36"/>
      <c r="Z3" s="36"/>
      <c r="AA3" s="36"/>
      <c r="AB3" s="36"/>
    </row>
    <row r="4" spans="1:28" ht="22.5" customHeight="1" x14ac:dyDescent="0.4">
      <c r="A4" s="35"/>
      <c r="B4" s="36"/>
      <c r="C4" s="37"/>
      <c r="D4" s="37"/>
      <c r="E4" s="37"/>
      <c r="F4" s="36"/>
      <c r="G4" s="149"/>
      <c r="H4" s="36"/>
      <c r="I4" s="36"/>
      <c r="J4" s="36"/>
      <c r="K4" s="36"/>
      <c r="L4" s="36"/>
      <c r="M4" s="36"/>
      <c r="N4" s="36"/>
      <c r="O4" s="36"/>
      <c r="P4" s="36"/>
      <c r="Q4" s="36"/>
      <c r="R4" s="37"/>
      <c r="S4" s="36"/>
      <c r="T4" s="36"/>
      <c r="U4" s="36"/>
      <c r="V4" s="36"/>
      <c r="W4" s="36"/>
      <c r="X4" s="36"/>
      <c r="Y4" s="36"/>
      <c r="Z4" s="36"/>
      <c r="AA4" s="36"/>
      <c r="AB4" s="36"/>
    </row>
    <row r="5" spans="1:28" s="39" customFormat="1" ht="8.25" customHeight="1" thickBot="1" x14ac:dyDescent="0.25">
      <c r="A5" s="38"/>
      <c r="B5" s="38"/>
      <c r="C5" s="38"/>
      <c r="D5" s="38"/>
      <c r="E5" s="38"/>
      <c r="F5" s="38"/>
      <c r="G5" s="150"/>
    </row>
    <row r="6" spans="1:28" s="42" customFormat="1" ht="24.75" customHeight="1" thickTop="1" thickBot="1" x14ac:dyDescent="0.25">
      <c r="A6" s="40" t="s">
        <v>104</v>
      </c>
      <c r="B6" s="40"/>
      <c r="C6" s="40"/>
      <c r="D6" s="40"/>
      <c r="E6" s="40"/>
      <c r="F6" s="40"/>
      <c r="G6" s="269"/>
      <c r="H6" s="157" t="s">
        <v>46</v>
      </c>
      <c r="I6" s="41"/>
      <c r="J6" s="277" t="s">
        <v>46</v>
      </c>
      <c r="K6" s="274"/>
      <c r="L6" s="277"/>
      <c r="M6" s="274"/>
      <c r="N6" s="277"/>
      <c r="O6" s="274"/>
      <c r="P6" s="41"/>
      <c r="Q6" s="277" t="s">
        <v>176</v>
      </c>
      <c r="R6" s="274" t="s">
        <v>188</v>
      </c>
      <c r="S6" s="41"/>
      <c r="T6" s="41"/>
      <c r="U6" s="41"/>
      <c r="V6" s="41"/>
      <c r="W6" s="862" t="s">
        <v>671</v>
      </c>
      <c r="X6" s="862"/>
      <c r="Y6" s="862"/>
      <c r="Z6" s="41"/>
      <c r="AA6" s="41"/>
      <c r="AB6" s="41"/>
    </row>
    <row r="7" spans="1:28" s="44" customFormat="1" ht="8.25" customHeight="1" thickTop="1" x14ac:dyDescent="0.2">
      <c r="A7" s="43"/>
      <c r="B7" s="43"/>
      <c r="C7" s="43"/>
      <c r="D7" s="43"/>
      <c r="E7" s="43"/>
      <c r="F7" s="43"/>
      <c r="G7" s="151"/>
      <c r="R7" s="39"/>
    </row>
    <row r="8" spans="1:28" ht="21" thickBot="1" x14ac:dyDescent="0.35">
      <c r="A8" s="45"/>
      <c r="B8" s="98" t="s">
        <v>96</v>
      </c>
      <c r="C8" s="98"/>
      <c r="D8" s="98"/>
      <c r="E8" s="98"/>
      <c r="F8" s="98"/>
      <c r="G8" s="187">
        <v>41090</v>
      </c>
      <c r="H8" s="187">
        <v>41274</v>
      </c>
      <c r="I8" s="224"/>
      <c r="J8" s="187">
        <f>'February''25 State of Activities'!G8</f>
        <v>45716</v>
      </c>
      <c r="K8" s="449">
        <v>45657</v>
      </c>
      <c r="L8" s="224"/>
      <c r="M8" s="449">
        <f>'February''25 State of Activities'!J8</f>
        <v>45350</v>
      </c>
      <c r="O8" s="449">
        <v>45351</v>
      </c>
      <c r="Q8" s="861" t="s">
        <v>732</v>
      </c>
      <c r="R8" s="861"/>
      <c r="U8" s="187"/>
      <c r="W8" s="701" t="s">
        <v>678</v>
      </c>
      <c r="X8" s="705" t="s">
        <v>670</v>
      </c>
      <c r="Y8" s="716" t="s">
        <v>679</v>
      </c>
    </row>
    <row r="9" spans="1:28" s="44" customFormat="1" ht="20.25" x14ac:dyDescent="0.2">
      <c r="A9" s="43"/>
      <c r="B9" s="43"/>
      <c r="C9" s="47" t="s">
        <v>146</v>
      </c>
      <c r="D9" s="47"/>
      <c r="E9" s="47"/>
      <c r="F9" s="43"/>
      <c r="G9" s="151">
        <v>127719</v>
      </c>
      <c r="H9" s="151">
        <v>67566.5</v>
      </c>
      <c r="I9" s="151"/>
      <c r="J9" s="160">
        <f>'February''25 State of Activities'!G10</f>
        <v>32500</v>
      </c>
      <c r="K9" s="160">
        <f>'February''25 State of Activities'!H10</f>
        <v>187799</v>
      </c>
      <c r="L9" s="160"/>
      <c r="M9" s="160">
        <f>'February''25 State of Activities'!J10</f>
        <v>107813</v>
      </c>
      <c r="O9" s="160">
        <v>21896</v>
      </c>
      <c r="Q9" s="261">
        <f>J9-O9</f>
        <v>10604</v>
      </c>
      <c r="R9" s="694">
        <f>(J9-O9)/O9</f>
        <v>0.48428936792108146</v>
      </c>
      <c r="U9" s="160">
        <f>AVERAGE(J9:K9)</f>
        <v>110149.5</v>
      </c>
      <c r="V9" s="47" t="str">
        <f>C9</f>
        <v xml:space="preserve">Transportation - Medicaid </v>
      </c>
      <c r="W9" s="160">
        <v>83419.44</v>
      </c>
      <c r="X9" s="706">
        <f t="shared" ref="X9:X22" si="0">J9-W9</f>
        <v>-50919.44</v>
      </c>
      <c r="Y9" s="160">
        <f>X9+W9</f>
        <v>32500</v>
      </c>
    </row>
    <row r="10" spans="1:28" s="44" customFormat="1" ht="20.25" x14ac:dyDescent="0.2">
      <c r="A10" s="43"/>
      <c r="B10" s="43"/>
      <c r="C10" s="47" t="s">
        <v>207</v>
      </c>
      <c r="D10" s="47"/>
      <c r="E10" s="47"/>
      <c r="F10" s="43"/>
      <c r="G10" s="160">
        <v>875436</v>
      </c>
      <c r="H10" s="160">
        <v>372424.1</v>
      </c>
      <c r="I10" s="160"/>
      <c r="J10" s="151">
        <v>0</v>
      </c>
      <c r="K10" s="151">
        <v>4104</v>
      </c>
      <c r="L10" s="160"/>
      <c r="M10" s="151">
        <v>3622.53</v>
      </c>
      <c r="O10" s="151">
        <v>1026</v>
      </c>
      <c r="Q10" s="337">
        <f>J10-O10</f>
        <v>-1026</v>
      </c>
      <c r="R10" s="694">
        <f>(J10-O10)/O10</f>
        <v>-1</v>
      </c>
      <c r="U10" s="151">
        <v>4100</v>
      </c>
      <c r="V10" s="47" t="str">
        <f t="shared" ref="V10:V59" si="1">C10</f>
        <v>Grants - New York State - Rural Health Network</v>
      </c>
      <c r="W10" s="151">
        <v>2052</v>
      </c>
      <c r="X10" s="707">
        <f t="shared" si="0"/>
        <v>-2052</v>
      </c>
      <c r="Y10" s="151">
        <f t="shared" ref="Y10:Y60" si="2">X10+W10</f>
        <v>0</v>
      </c>
    </row>
    <row r="11" spans="1:28" s="44" customFormat="1" ht="20.25" x14ac:dyDescent="0.2">
      <c r="A11" s="43"/>
      <c r="B11" s="43"/>
      <c r="C11" s="47" t="s">
        <v>372</v>
      </c>
      <c r="D11" s="47"/>
      <c r="E11" s="47"/>
      <c r="F11" s="43"/>
      <c r="G11" s="160"/>
      <c r="H11" s="160"/>
      <c r="I11" s="160"/>
      <c r="J11" s="151">
        <v>7310</v>
      </c>
      <c r="K11" s="151">
        <v>8000</v>
      </c>
      <c r="L11" s="160"/>
      <c r="M11" s="151"/>
      <c r="O11" s="151"/>
      <c r="Q11" s="337">
        <f>J11-O11</f>
        <v>7310</v>
      </c>
      <c r="R11" s="694"/>
      <c r="U11" s="151">
        <f>15310-8000</f>
        <v>7310</v>
      </c>
      <c r="V11" s="47" t="str">
        <f t="shared" si="1"/>
        <v>Grants - New York State - Assoc for Rural Health</v>
      </c>
      <c r="W11" s="151"/>
      <c r="X11" s="707">
        <f t="shared" si="0"/>
        <v>7310</v>
      </c>
      <c r="Y11" s="151">
        <f t="shared" si="2"/>
        <v>7310</v>
      </c>
    </row>
    <row r="12" spans="1:28" s="44" customFormat="1" ht="20.25" x14ac:dyDescent="0.2">
      <c r="A12" s="43"/>
      <c r="B12" s="43"/>
      <c r="C12" s="47" t="s">
        <v>98</v>
      </c>
      <c r="D12" s="47"/>
      <c r="E12" s="47"/>
      <c r="F12" s="43"/>
      <c r="G12" s="151"/>
      <c r="H12" s="151"/>
      <c r="I12" s="151"/>
      <c r="J12" s="151"/>
      <c r="K12" s="151"/>
      <c r="L12" s="151"/>
      <c r="M12" s="151"/>
      <c r="O12" s="151"/>
      <c r="Q12" s="337"/>
      <c r="R12" s="281"/>
      <c r="U12" s="151"/>
      <c r="V12" s="702" t="str">
        <f t="shared" si="1"/>
        <v>Columbia County Departments</v>
      </c>
      <c r="W12" s="151"/>
      <c r="X12" s="707">
        <f t="shared" si="0"/>
        <v>0</v>
      </c>
      <c r="Y12" s="151">
        <f t="shared" si="2"/>
        <v>0</v>
      </c>
    </row>
    <row r="13" spans="1:28" s="44" customFormat="1" ht="20.25" x14ac:dyDescent="0.2">
      <c r="A13" s="43"/>
      <c r="B13" s="43"/>
      <c r="D13" s="47" t="s">
        <v>208</v>
      </c>
      <c r="E13" s="47"/>
      <c r="F13" s="43"/>
      <c r="G13" s="151">
        <v>94235.25</v>
      </c>
      <c r="H13" s="151">
        <v>37190.379999999997</v>
      </c>
      <c r="I13" s="151"/>
      <c r="J13" s="151">
        <f>'February''25 Revenues &amp; Expenses'!J10</f>
        <v>8583</v>
      </c>
      <c r="K13" s="151">
        <v>50000</v>
      </c>
      <c r="L13" s="151"/>
      <c r="M13" s="151">
        <v>39583</v>
      </c>
      <c r="O13" s="151">
        <v>8333</v>
      </c>
      <c r="Q13" s="337">
        <f t="shared" ref="Q13:Q23" si="3">J13-O13</f>
        <v>250</v>
      </c>
      <c r="R13" s="694">
        <f>(J13-O13)/O13</f>
        <v>3.0001200048001921E-2</v>
      </c>
      <c r="U13" s="151">
        <v>51500</v>
      </c>
      <c r="V13" s="702" t="s">
        <v>673</v>
      </c>
      <c r="W13" s="151">
        <v>25000.02</v>
      </c>
      <c r="X13" s="707">
        <f t="shared" si="0"/>
        <v>-16417.02</v>
      </c>
      <c r="Y13" s="151">
        <f t="shared" si="2"/>
        <v>8583</v>
      </c>
    </row>
    <row r="14" spans="1:28" s="44" customFormat="1" ht="20.25" x14ac:dyDescent="0.2">
      <c r="A14" s="43"/>
      <c r="B14" s="43"/>
      <c r="D14" s="47" t="s">
        <v>154</v>
      </c>
      <c r="E14" s="47"/>
      <c r="F14" s="43"/>
      <c r="G14" s="151"/>
      <c r="H14" s="151"/>
      <c r="I14" s="151"/>
      <c r="J14" s="151">
        <f>'February''25 Revenues &amp; Expenses'!J13</f>
        <v>3000</v>
      </c>
      <c r="K14" s="151">
        <v>18000</v>
      </c>
      <c r="L14" s="151"/>
      <c r="M14" s="151">
        <f>'February''25 State of Activities'!J16</f>
        <v>3000</v>
      </c>
      <c r="O14" s="151">
        <v>3000</v>
      </c>
      <c r="Q14" s="337">
        <f t="shared" si="3"/>
        <v>0</v>
      </c>
      <c r="R14" s="694">
        <f>(J14-O14)/O14</f>
        <v>0</v>
      </c>
      <c r="U14" s="151">
        <v>18000</v>
      </c>
      <c r="V14" s="47" t="s">
        <v>154</v>
      </c>
      <c r="W14" s="151">
        <v>9000</v>
      </c>
      <c r="X14" s="707">
        <f t="shared" si="0"/>
        <v>-6000</v>
      </c>
      <c r="Y14" s="151">
        <f t="shared" si="2"/>
        <v>3000</v>
      </c>
    </row>
    <row r="15" spans="1:28" s="44" customFormat="1" ht="20.25" x14ac:dyDescent="0.2">
      <c r="A15" s="43"/>
      <c r="B15" s="43"/>
      <c r="C15" s="47" t="s">
        <v>99</v>
      </c>
      <c r="D15" s="47"/>
      <c r="E15" s="47"/>
      <c r="F15" s="43"/>
      <c r="G15" s="151">
        <v>0</v>
      </c>
      <c r="H15" s="151">
        <v>3517</v>
      </c>
      <c r="I15" s="151"/>
      <c r="J15" s="151">
        <f>'February''25 State of Activities'!G18</f>
        <v>2223</v>
      </c>
      <c r="K15" s="151">
        <v>20092</v>
      </c>
      <c r="L15" s="151"/>
      <c r="M15" s="151">
        <v>19841</v>
      </c>
      <c r="O15" s="151">
        <v>2714</v>
      </c>
      <c r="Q15" s="337">
        <f t="shared" si="3"/>
        <v>-491</v>
      </c>
      <c r="R15" s="694">
        <f>(J15-O15)/O15</f>
        <v>-0.18091378039793662</v>
      </c>
      <c r="U15" s="151">
        <v>20000</v>
      </c>
      <c r="V15" s="47" t="str">
        <f t="shared" si="1"/>
        <v>Donations - Transportation</v>
      </c>
      <c r="W15" s="151">
        <v>9404.7000000000007</v>
      </c>
      <c r="X15" s="707">
        <f t="shared" si="0"/>
        <v>-7181.7000000000007</v>
      </c>
      <c r="Y15" s="151">
        <f t="shared" si="2"/>
        <v>2223</v>
      </c>
    </row>
    <row r="16" spans="1:28" s="44" customFormat="1" ht="20.25" x14ac:dyDescent="0.2">
      <c r="A16" s="43"/>
      <c r="B16" s="43"/>
      <c r="C16" s="47" t="s">
        <v>654</v>
      </c>
      <c r="D16" s="47"/>
      <c r="E16" s="47"/>
      <c r="F16" s="43"/>
      <c r="G16" s="151"/>
      <c r="H16" s="151"/>
      <c r="I16" s="151"/>
      <c r="J16" s="151">
        <v>0</v>
      </c>
      <c r="K16" s="151">
        <v>8377</v>
      </c>
      <c r="L16" s="151"/>
      <c r="M16" s="151">
        <v>24284</v>
      </c>
      <c r="O16" s="151"/>
      <c r="Q16" s="337">
        <f t="shared" si="3"/>
        <v>0</v>
      </c>
      <c r="R16" s="694"/>
      <c r="U16" s="151">
        <v>8500</v>
      </c>
      <c r="V16" s="47" t="str">
        <f t="shared" si="1"/>
        <v>Fundraising Event</v>
      </c>
      <c r="W16" s="151"/>
      <c r="X16" s="707">
        <f t="shared" si="0"/>
        <v>0</v>
      </c>
      <c r="Y16" s="151">
        <f t="shared" si="2"/>
        <v>0</v>
      </c>
      <c r="AB16" s="44" t="s">
        <v>672</v>
      </c>
    </row>
    <row r="17" spans="1:29" s="44" customFormat="1" ht="20.25" x14ac:dyDescent="0.2">
      <c r="A17" s="43"/>
      <c r="B17" s="43"/>
      <c r="C17" s="47" t="s">
        <v>209</v>
      </c>
      <c r="D17" s="47"/>
      <c r="E17" s="47"/>
      <c r="F17" s="43"/>
      <c r="G17" s="151">
        <v>31459</v>
      </c>
      <c r="H17" s="151">
        <v>13920.35</v>
      </c>
      <c r="I17" s="151"/>
      <c r="J17" s="151">
        <f>'February''25 Revenues &amp; Expenses'!I30</f>
        <v>4040.38</v>
      </c>
      <c r="K17" s="151">
        <v>25000</v>
      </c>
      <c r="L17" s="151"/>
      <c r="M17" s="151">
        <v>22757</v>
      </c>
      <c r="O17" s="151">
        <v>4179</v>
      </c>
      <c r="Q17" s="337">
        <f t="shared" si="3"/>
        <v>-138.61999999999989</v>
      </c>
      <c r="R17" s="694">
        <f>(J17-O17)/O17</f>
        <v>-3.317061497966018E-2</v>
      </c>
      <c r="U17" s="151">
        <v>25000</v>
      </c>
      <c r="V17" s="47" t="str">
        <f t="shared" si="1"/>
        <v>Foundation Revenue-FCH-Sharon/Ancram/Copake</v>
      </c>
      <c r="W17" s="151">
        <v>12497</v>
      </c>
      <c r="X17" s="707">
        <f t="shared" si="0"/>
        <v>-8456.619999999999</v>
      </c>
      <c r="Y17" s="151">
        <f t="shared" si="2"/>
        <v>4040.380000000001</v>
      </c>
    </row>
    <row r="18" spans="1:29" s="44" customFormat="1" ht="20.25" x14ac:dyDescent="0.2">
      <c r="A18" s="43"/>
      <c r="B18" s="43"/>
      <c r="C18" s="47" t="s">
        <v>362</v>
      </c>
      <c r="D18" s="47"/>
      <c r="E18" s="47"/>
      <c r="F18" s="43"/>
      <c r="G18" s="151"/>
      <c r="H18" s="151"/>
      <c r="I18" s="151"/>
      <c r="J18" s="151">
        <v>5793.92</v>
      </c>
      <c r="K18" s="151">
        <v>47861</v>
      </c>
      <c r="L18" s="151"/>
      <c r="M18" s="151">
        <v>18492</v>
      </c>
      <c r="O18" s="151">
        <v>7612</v>
      </c>
      <c r="Q18" s="337">
        <f t="shared" si="3"/>
        <v>-1818.08</v>
      </c>
      <c r="R18" s="694">
        <f>(J18-O18)/O18</f>
        <v>-0.23884393063583814</v>
      </c>
      <c r="U18" s="151">
        <f>55000*(J18/65000)</f>
        <v>4902.5476923076922</v>
      </c>
      <c r="V18" s="47" t="str">
        <f t="shared" si="1"/>
        <v>Foundation Revenue-Dyson Foundation</v>
      </c>
      <c r="W18" s="151">
        <v>32500.02</v>
      </c>
      <c r="X18" s="707">
        <f t="shared" si="0"/>
        <v>-26706.1</v>
      </c>
      <c r="Y18" s="151">
        <f t="shared" si="2"/>
        <v>5793.9200000000019</v>
      </c>
    </row>
    <row r="19" spans="1:29" s="44" customFormat="1" ht="20.25" x14ac:dyDescent="0.2">
      <c r="A19" s="43"/>
      <c r="B19" s="43"/>
      <c r="C19" s="47" t="s">
        <v>374</v>
      </c>
      <c r="D19" s="47"/>
      <c r="E19" s="47"/>
      <c r="F19" s="43"/>
      <c r="G19" s="151"/>
      <c r="H19" s="151"/>
      <c r="I19" s="151"/>
      <c r="J19" s="151">
        <v>0</v>
      </c>
      <c r="K19" s="151">
        <v>0</v>
      </c>
      <c r="L19" s="151"/>
      <c r="M19" s="151">
        <v>41667</v>
      </c>
      <c r="O19" s="151"/>
      <c r="Q19" s="337">
        <f t="shared" si="3"/>
        <v>0</v>
      </c>
      <c r="R19" s="694"/>
      <c r="U19" s="151"/>
      <c r="V19" s="47" t="str">
        <f t="shared" si="1"/>
        <v>Foundation Revenue-RipVan Winkle Foundation</v>
      </c>
      <c r="W19" s="151">
        <v>0</v>
      </c>
      <c r="X19" s="707">
        <f t="shared" si="0"/>
        <v>0</v>
      </c>
      <c r="Y19" s="151">
        <f t="shared" si="2"/>
        <v>0</v>
      </c>
    </row>
    <row r="20" spans="1:29" s="44" customFormat="1" ht="20.25" x14ac:dyDescent="0.2">
      <c r="A20" s="43"/>
      <c r="B20" s="43"/>
      <c r="C20" s="47" t="s">
        <v>522</v>
      </c>
      <c r="D20" s="47"/>
      <c r="E20" s="47"/>
      <c r="F20" s="43"/>
      <c r="G20" s="151"/>
      <c r="H20" s="151"/>
      <c r="I20" s="151"/>
      <c r="J20" s="151">
        <v>0</v>
      </c>
      <c r="K20" s="151">
        <v>50000</v>
      </c>
      <c r="L20" s="151"/>
      <c r="M20" s="151">
        <v>35714</v>
      </c>
      <c r="O20" s="151">
        <v>8333</v>
      </c>
      <c r="Q20" s="337">
        <f t="shared" si="3"/>
        <v>-8333</v>
      </c>
      <c r="R20" s="694">
        <f>(J20-O20)/O20</f>
        <v>-1</v>
      </c>
      <c r="U20" s="718"/>
      <c r="V20" s="47" t="str">
        <f t="shared" si="1"/>
        <v>Foundation Revenue-The Home for the Aged</v>
      </c>
      <c r="W20" s="151">
        <v>25000</v>
      </c>
      <c r="X20" s="707">
        <f t="shared" si="0"/>
        <v>-25000</v>
      </c>
      <c r="Y20" s="151">
        <f t="shared" si="2"/>
        <v>0</v>
      </c>
    </row>
    <row r="21" spans="1:29" s="44" customFormat="1" ht="20.25" x14ac:dyDescent="0.2">
      <c r="A21" s="43"/>
      <c r="B21" s="43"/>
      <c r="C21" s="47" t="s">
        <v>579</v>
      </c>
      <c r="D21" s="47"/>
      <c r="E21" s="47"/>
      <c r="F21" s="43"/>
      <c r="G21" s="151"/>
      <c r="H21" s="151"/>
      <c r="I21" s="151"/>
      <c r="J21" s="151">
        <f>'February''25 Revenues &amp; Expenses'!I41</f>
        <v>17440.25</v>
      </c>
      <c r="K21" s="151">
        <v>125000</v>
      </c>
      <c r="L21" s="151"/>
      <c r="M21" s="151"/>
      <c r="O21" s="151">
        <v>25017</v>
      </c>
      <c r="Q21" s="337">
        <f t="shared" si="3"/>
        <v>-7576.75</v>
      </c>
      <c r="R21" s="694">
        <f>(J21-O21)/O21</f>
        <v>-0.30286405244433784</v>
      </c>
      <c r="U21" s="151">
        <v>125000</v>
      </c>
      <c r="V21" s="47" t="str">
        <f t="shared" si="1"/>
        <v xml:space="preserve">Foundation Revenue-Mother Cabrini </v>
      </c>
      <c r="W21" s="151">
        <v>62344</v>
      </c>
      <c r="X21" s="707">
        <f t="shared" si="0"/>
        <v>-44903.75</v>
      </c>
      <c r="Y21" s="151">
        <f t="shared" si="2"/>
        <v>17440.25</v>
      </c>
    </row>
    <row r="22" spans="1:29" s="44" customFormat="1" ht="20.25" x14ac:dyDescent="0.2">
      <c r="A22" s="43"/>
      <c r="B22" s="43"/>
      <c r="C22" s="47" t="s">
        <v>627</v>
      </c>
      <c r="D22" s="47"/>
      <c r="E22" s="47"/>
      <c r="F22" s="43"/>
      <c r="G22" s="151"/>
      <c r="H22" s="151"/>
      <c r="I22" s="151"/>
      <c r="J22" s="151">
        <f>'February''25 Revenues &amp; Expenses'!I42-(2083.33*3)</f>
        <v>-2083.33</v>
      </c>
      <c r="K22" s="151">
        <v>6250</v>
      </c>
      <c r="L22" s="151"/>
      <c r="M22" s="151"/>
      <c r="O22" s="151">
        <v>0</v>
      </c>
      <c r="Q22" s="337">
        <f t="shared" si="3"/>
        <v>-2083.33</v>
      </c>
      <c r="R22" s="694"/>
      <c r="U22" s="151">
        <f>'February''25 Revenues &amp; Expenses'!J42+('February''25 Revenues &amp; Expenses'!J43*3/12)</f>
        <v>20833.34</v>
      </c>
      <c r="V22" s="47" t="str">
        <f t="shared" si="1"/>
        <v>Foundation Revenue-Hudson River Bank &amp; Trust</v>
      </c>
      <c r="W22" s="151"/>
      <c r="X22" s="707">
        <f t="shared" si="0"/>
        <v>-2083.33</v>
      </c>
      <c r="Y22" s="151">
        <f t="shared" si="2"/>
        <v>-2083.33</v>
      </c>
    </row>
    <row r="23" spans="1:29" s="44" customFormat="1" ht="20.25" x14ac:dyDescent="0.2">
      <c r="A23" s="43"/>
      <c r="B23" s="43"/>
      <c r="C23" s="47" t="s">
        <v>321</v>
      </c>
      <c r="D23" s="47"/>
      <c r="E23" s="47"/>
      <c r="F23" s="43"/>
      <c r="G23" s="151"/>
      <c r="H23" s="151"/>
      <c r="I23" s="151"/>
      <c r="J23" s="151">
        <v>0</v>
      </c>
      <c r="K23" s="151">
        <v>120</v>
      </c>
      <c r="L23" s="151"/>
      <c r="M23" s="151">
        <v>90</v>
      </c>
      <c r="O23" s="151">
        <v>0</v>
      </c>
      <c r="Q23" s="337">
        <f t="shared" si="3"/>
        <v>0</v>
      </c>
      <c r="R23" s="694"/>
      <c r="U23" s="151">
        <v>100</v>
      </c>
      <c r="V23" s="47" t="str">
        <f t="shared" si="1"/>
        <v>Columbia Memorial Hospital</v>
      </c>
      <c r="W23" s="151">
        <v>30</v>
      </c>
      <c r="X23" s="707"/>
      <c r="Y23" s="151">
        <v>120</v>
      </c>
    </row>
    <row r="24" spans="1:29" s="44" customFormat="1" ht="20.25" customHeight="1" x14ac:dyDescent="0.2">
      <c r="A24" s="43"/>
      <c r="B24" s="43"/>
      <c r="C24" s="792" t="s">
        <v>523</v>
      </c>
      <c r="D24" s="792"/>
      <c r="E24" s="792"/>
      <c r="F24" s="792"/>
      <c r="G24" s="151"/>
      <c r="H24" s="151"/>
      <c r="I24" s="151"/>
      <c r="J24" s="151">
        <v>0</v>
      </c>
      <c r="K24" s="151"/>
      <c r="L24" s="151"/>
      <c r="M24" s="151">
        <v>940</v>
      </c>
      <c r="O24" s="151">
        <v>0</v>
      </c>
      <c r="Q24" s="337">
        <f>J24-K24</f>
        <v>0</v>
      </c>
      <c r="R24" s="694"/>
      <c r="U24" s="151"/>
      <c r="V24" s="47" t="str">
        <f t="shared" si="1"/>
        <v>Greene County - Dept Human Services</v>
      </c>
      <c r="W24" s="151">
        <v>0</v>
      </c>
      <c r="X24" s="707">
        <f>J24-W24</f>
        <v>0</v>
      </c>
      <c r="Y24" s="151">
        <f t="shared" si="2"/>
        <v>0</v>
      </c>
    </row>
    <row r="25" spans="1:29" s="44" customFormat="1" ht="20.25" x14ac:dyDescent="0.2">
      <c r="A25" s="43"/>
      <c r="B25" s="43"/>
      <c r="C25" s="47" t="s">
        <v>328</v>
      </c>
      <c r="D25" s="47"/>
      <c r="E25" s="47"/>
      <c r="F25" s="43"/>
      <c r="G25" s="151">
        <v>1125</v>
      </c>
      <c r="H25" s="151">
        <v>6050</v>
      </c>
      <c r="I25" s="151"/>
      <c r="J25" s="151">
        <v>0</v>
      </c>
      <c r="K25" s="151">
        <v>0</v>
      </c>
      <c r="L25" s="151"/>
      <c r="M25" s="151">
        <v>0</v>
      </c>
      <c r="O25" s="151">
        <v>0</v>
      </c>
      <c r="Q25" s="337">
        <f t="shared" ref="Q25" si="4">J25-M25</f>
        <v>0</v>
      </c>
      <c r="R25" s="694"/>
      <c r="U25" s="151"/>
      <c r="V25" s="47" t="str">
        <f t="shared" si="1"/>
        <v>Gain (Loss) on Sale of Vehicle</v>
      </c>
      <c r="X25" s="707"/>
      <c r="Y25" s="151">
        <f t="shared" si="2"/>
        <v>0</v>
      </c>
    </row>
    <row r="26" spans="1:29" s="44" customFormat="1" ht="21" thickBot="1" x14ac:dyDescent="0.25">
      <c r="A26" s="43"/>
      <c r="B26" s="43"/>
      <c r="C26" s="47" t="s">
        <v>210</v>
      </c>
      <c r="D26" s="47"/>
      <c r="E26" s="47"/>
      <c r="F26" s="43"/>
      <c r="G26" s="158">
        <v>31250</v>
      </c>
      <c r="H26" s="158">
        <v>15624.98</v>
      </c>
      <c r="I26" s="151"/>
      <c r="J26" s="158">
        <f>'February''25 State of Activities'!G26*0.2</f>
        <v>1758</v>
      </c>
      <c r="K26" s="158">
        <f>'[3]December''21 State of Activities'!H26*0.2</f>
        <v>10548</v>
      </c>
      <c r="L26" s="151"/>
      <c r="M26" s="158">
        <f>'February''25 State of Activities'!J26*0.2</f>
        <v>1758</v>
      </c>
      <c r="O26" s="158">
        <v>1758</v>
      </c>
      <c r="Q26" s="779">
        <f>J26-O26</f>
        <v>0</v>
      </c>
      <c r="R26" s="696">
        <f>(J26-O26)/O26</f>
        <v>0</v>
      </c>
      <c r="U26" s="158">
        <f>K26</f>
        <v>10548</v>
      </c>
      <c r="V26" s="47" t="str">
        <f t="shared" si="1"/>
        <v>In-Kind Rent - Columbia County (20%)</v>
      </c>
      <c r="W26" s="158">
        <v>5274</v>
      </c>
      <c r="X26" s="708">
        <f>J26-W26</f>
        <v>-3516</v>
      </c>
      <c r="Y26" s="158">
        <f t="shared" si="2"/>
        <v>1758</v>
      </c>
    </row>
    <row r="27" spans="1:29" s="44" customFormat="1" ht="20.25" x14ac:dyDescent="0.2">
      <c r="A27" s="43"/>
      <c r="B27" s="43"/>
      <c r="C27" s="47"/>
      <c r="D27" s="43" t="s">
        <v>101</v>
      </c>
      <c r="E27" s="47"/>
      <c r="F27" s="43"/>
      <c r="G27" s="151">
        <v>1161224.25</v>
      </c>
      <c r="H27" s="151">
        <v>516293.30999999994</v>
      </c>
      <c r="I27" s="151"/>
      <c r="J27" s="151">
        <f>SUM(J9:J26)</f>
        <v>80565.219999999987</v>
      </c>
      <c r="K27" s="151">
        <f>SUM(K9:K26)</f>
        <v>561151</v>
      </c>
      <c r="L27" s="151"/>
      <c r="M27" s="151">
        <f>SUM(M9:M26)</f>
        <v>319561.53000000003</v>
      </c>
      <c r="O27" s="151">
        <f>SUM(O9:O26)</f>
        <v>83868</v>
      </c>
      <c r="Q27" s="337">
        <f>J27-O27</f>
        <v>-3302.7800000000134</v>
      </c>
      <c r="R27" s="694">
        <f>(J27-O27)/O27</f>
        <v>-3.9380693470692202E-2</v>
      </c>
      <c r="S27" s="162">
        <f>O27-83868</f>
        <v>0</v>
      </c>
      <c r="U27" s="151">
        <f>SUM(U9:U26)</f>
        <v>405943.3876923077</v>
      </c>
      <c r="V27" s="703" t="s">
        <v>101</v>
      </c>
      <c r="W27" s="151">
        <f>SUM(W9:W26)</f>
        <v>266521.18</v>
      </c>
      <c r="X27" s="707">
        <f>SUM(X9:X26)</f>
        <v>-185925.96</v>
      </c>
      <c r="Y27" s="151">
        <f>SUM(Y9:Y26)</f>
        <v>80685.22</v>
      </c>
      <c r="AB27" s="44">
        <v>257626</v>
      </c>
      <c r="AC27" s="162">
        <f>W27-AB27</f>
        <v>8895.179999999993</v>
      </c>
    </row>
    <row r="28" spans="1:29" s="44" customFormat="1" ht="21" thickBot="1" x14ac:dyDescent="0.25">
      <c r="A28" s="43"/>
      <c r="B28" s="43"/>
      <c r="C28" s="43" t="s">
        <v>211</v>
      </c>
      <c r="D28" s="47"/>
      <c r="E28" s="47"/>
      <c r="F28" s="43"/>
      <c r="G28" s="158">
        <v>150176</v>
      </c>
      <c r="H28" s="158">
        <v>47700.27</v>
      </c>
      <c r="I28" s="151"/>
      <c r="J28" s="151">
        <f>'February''25 Revenues &amp; Expenses'!G53/12*2</f>
        <v>2916.6666666666665</v>
      </c>
      <c r="K28" s="151">
        <v>21000</v>
      </c>
      <c r="L28" s="151"/>
      <c r="M28" s="151">
        <f>J28</f>
        <v>2916.6666666666665</v>
      </c>
      <c r="O28" s="151">
        <v>3500</v>
      </c>
      <c r="Q28" s="337">
        <f>J28-O28</f>
        <v>-583.33333333333348</v>
      </c>
      <c r="R28" s="694">
        <f>(J28-O28)/O28</f>
        <v>-0.16666666666666671</v>
      </c>
      <c r="U28" s="151">
        <f>J28</f>
        <v>2916.6666666666665</v>
      </c>
      <c r="V28" s="43" t="str">
        <f t="shared" si="1"/>
        <v>Assets Released from Restrictions-CC Depts.</v>
      </c>
      <c r="W28" s="151">
        <v>10500</v>
      </c>
      <c r="X28" s="707">
        <f>J28-W28</f>
        <v>-7583.3333333333339</v>
      </c>
      <c r="Y28" s="151">
        <f t="shared" si="2"/>
        <v>2916.6666666666661</v>
      </c>
    </row>
    <row r="29" spans="1:29" s="44" customFormat="1" ht="21" thickBot="1" x14ac:dyDescent="0.25">
      <c r="A29" s="43"/>
      <c r="B29" s="43"/>
      <c r="C29" s="43" t="s">
        <v>212</v>
      </c>
      <c r="D29" s="47"/>
      <c r="E29" s="47"/>
      <c r="F29" s="43"/>
      <c r="G29" s="151"/>
      <c r="H29" s="151"/>
      <c r="I29" s="151"/>
      <c r="J29" s="158">
        <v>4611.75</v>
      </c>
      <c r="K29" s="158">
        <v>33956</v>
      </c>
      <c r="L29" s="151"/>
      <c r="M29" s="158">
        <v>27862</v>
      </c>
      <c r="O29" s="158">
        <v>4953</v>
      </c>
      <c r="Q29" s="779">
        <f>J29-O29</f>
        <v>-341.25</v>
      </c>
      <c r="R29" s="696">
        <f>(J29-O29)/O29</f>
        <v>-6.8897637795275593E-2</v>
      </c>
      <c r="U29" s="158">
        <v>22000</v>
      </c>
      <c r="V29" s="43" t="str">
        <f t="shared" si="1"/>
        <v>Assets Released from Restrictions-Columbia Cty</v>
      </c>
      <c r="W29" s="158">
        <v>15396.6</v>
      </c>
      <c r="X29" s="708">
        <f>J29-W29</f>
        <v>-10784.85</v>
      </c>
      <c r="Y29" s="158">
        <f t="shared" si="2"/>
        <v>4611.75</v>
      </c>
    </row>
    <row r="30" spans="1:29" s="44" customFormat="1" ht="20.25" x14ac:dyDescent="0.2">
      <c r="A30" s="43"/>
      <c r="B30" s="43"/>
      <c r="C30" s="47"/>
      <c r="D30" s="43" t="s">
        <v>103</v>
      </c>
      <c r="E30" s="47"/>
      <c r="F30" s="43"/>
      <c r="G30" s="151">
        <v>1311400.25</v>
      </c>
      <c r="H30" s="151">
        <v>563993.57999999996</v>
      </c>
      <c r="I30" s="151"/>
      <c r="J30" s="151">
        <f>SUM(J27:J29)</f>
        <v>88093.636666666658</v>
      </c>
      <c r="K30" s="151">
        <f>SUM(K27:K29)</f>
        <v>616107</v>
      </c>
      <c r="L30" s="151"/>
      <c r="M30" s="151">
        <f>SUM(M27:M29)</f>
        <v>350340.19666666671</v>
      </c>
      <c r="O30" s="151">
        <f>SUM(O27:O29)</f>
        <v>92321</v>
      </c>
      <c r="Q30" s="337">
        <f>J30-O30</f>
        <v>-4227.3633333333419</v>
      </c>
      <c r="R30" s="694">
        <f>(J30-O30)/O30</f>
        <v>-4.5789834743269052E-2</v>
      </c>
      <c r="U30" s="151">
        <f>SUM(U27:U29)</f>
        <v>430860.05435897439</v>
      </c>
      <c r="V30" s="47"/>
      <c r="W30" s="151">
        <f>SUM(W27:W29)</f>
        <v>292417.77999999997</v>
      </c>
      <c r="X30" s="707">
        <f>SUM(X27:X29)</f>
        <v>-204294.14333333334</v>
      </c>
      <c r="Y30" s="151">
        <f>SUM(Y27:Y29)</f>
        <v>88213.636666666673</v>
      </c>
      <c r="AB30" s="44">
        <v>283522</v>
      </c>
      <c r="AC30" s="162">
        <f>W30-AB30</f>
        <v>8895.7799999999697</v>
      </c>
    </row>
    <row r="31" spans="1:29" s="44" customFormat="1" ht="20.25" x14ac:dyDescent="0.2">
      <c r="A31" s="43"/>
      <c r="B31" s="43"/>
      <c r="C31" s="47"/>
      <c r="D31" s="43"/>
      <c r="E31" s="47"/>
      <c r="F31" s="43"/>
      <c r="G31" s="151"/>
      <c r="H31" s="151"/>
      <c r="I31" s="151"/>
      <c r="J31" s="151"/>
      <c r="K31" s="406"/>
      <c r="L31" s="151"/>
      <c r="M31" s="151"/>
      <c r="O31" s="406"/>
      <c r="R31" s="39"/>
      <c r="U31" s="151"/>
      <c r="V31" s="47"/>
      <c r="W31" s="151"/>
      <c r="X31" s="707"/>
      <c r="Y31" s="151">
        <f t="shared" si="2"/>
        <v>0</v>
      </c>
    </row>
    <row r="32" spans="1:29" s="44" customFormat="1" ht="21" thickBot="1" x14ac:dyDescent="0.25">
      <c r="A32" s="43"/>
      <c r="B32" s="55" t="s">
        <v>107</v>
      </c>
      <c r="C32" s="55"/>
      <c r="D32" s="55"/>
      <c r="E32" s="55"/>
      <c r="F32" s="55"/>
      <c r="G32" s="158"/>
      <c r="J32" s="151"/>
      <c r="R32" s="39"/>
      <c r="U32" s="151"/>
      <c r="V32" s="55" t="s">
        <v>107</v>
      </c>
      <c r="X32" s="709"/>
    </row>
    <row r="33" spans="1:28" s="44" customFormat="1" ht="20.25" x14ac:dyDescent="0.2">
      <c r="A33" s="43"/>
      <c r="B33" s="43"/>
      <c r="C33" s="47" t="s">
        <v>213</v>
      </c>
      <c r="D33" s="47"/>
      <c r="E33" s="47"/>
      <c r="F33" s="47"/>
      <c r="G33" s="151">
        <v>733747.79999999993</v>
      </c>
      <c r="H33" s="182">
        <v>361976</v>
      </c>
      <c r="I33" s="182"/>
      <c r="J33" s="151"/>
      <c r="K33" s="182"/>
      <c r="L33" s="182"/>
      <c r="M33" s="182"/>
      <c r="O33" s="182"/>
      <c r="R33" s="39"/>
      <c r="U33" s="151"/>
      <c r="V33" s="47" t="str">
        <f t="shared" si="1"/>
        <v>Salaries and Payroll Taxes &amp; Fringe</v>
      </c>
      <c r="W33" s="151"/>
      <c r="X33" s="707">
        <f>J32-W33</f>
        <v>0</v>
      </c>
      <c r="Y33" s="151">
        <f t="shared" si="2"/>
        <v>0</v>
      </c>
    </row>
    <row r="34" spans="1:28" s="44" customFormat="1" ht="20.25" x14ac:dyDescent="0.2">
      <c r="A34" s="43"/>
      <c r="B34" s="43"/>
      <c r="C34" s="47"/>
      <c r="D34" s="792" t="s">
        <v>214</v>
      </c>
      <c r="E34" s="792"/>
      <c r="F34" s="792"/>
      <c r="G34" s="151"/>
      <c r="H34" s="182"/>
      <c r="I34" s="182"/>
      <c r="J34" s="151">
        <v>39031.22</v>
      </c>
      <c r="K34" s="151">
        <v>237849</v>
      </c>
      <c r="L34" s="182"/>
      <c r="M34" s="151">
        <v>192858.9</v>
      </c>
      <c r="O34" s="151">
        <v>34625</v>
      </c>
      <c r="Q34" s="337">
        <f>J34-O34</f>
        <v>4406.2200000000012</v>
      </c>
      <c r="R34" s="694">
        <f>(J34-O34)/O34</f>
        <v>0.12725545126353793</v>
      </c>
      <c r="U34" s="151">
        <f>240651</f>
        <v>240651</v>
      </c>
      <c r="V34" s="702" t="s">
        <v>214</v>
      </c>
      <c r="W34" s="704">
        <v>116142.27</v>
      </c>
      <c r="X34" s="710">
        <f>J34-W34</f>
        <v>-77111.05</v>
      </c>
      <c r="Y34" s="151">
        <f t="shared" si="2"/>
        <v>39031.22</v>
      </c>
      <c r="AB34" s="162">
        <f t="shared" ref="AB34:AB54" si="5">Y34-J34</f>
        <v>0</v>
      </c>
    </row>
    <row r="35" spans="1:28" s="44" customFormat="1" ht="20.25" x14ac:dyDescent="0.2">
      <c r="A35" s="43"/>
      <c r="B35" s="43"/>
      <c r="C35" s="47"/>
      <c r="D35" s="792" t="s">
        <v>215</v>
      </c>
      <c r="E35" s="792"/>
      <c r="F35" s="792"/>
      <c r="G35" s="151"/>
      <c r="H35" s="182"/>
      <c r="I35" s="182"/>
      <c r="J35" s="151">
        <v>9390.65</v>
      </c>
      <c r="K35" s="151">
        <f>55000+52848.91</f>
        <v>107848.91</v>
      </c>
      <c r="L35" s="182"/>
      <c r="M35" s="151">
        <f>40907.78+26517.32</f>
        <v>67425.100000000006</v>
      </c>
      <c r="O35" s="151">
        <v>17739</v>
      </c>
      <c r="Q35" s="337">
        <f t="shared" ref="Q35:Q54" si="6">J35-O35</f>
        <v>-8348.35</v>
      </c>
      <c r="R35" s="694">
        <f t="shared" ref="R35:R54" si="7">(J35-O35)/O35</f>
        <v>-0.47062123005806417</v>
      </c>
      <c r="U35" s="151">
        <v>110000</v>
      </c>
      <c r="V35" s="702" t="s">
        <v>674</v>
      </c>
      <c r="W35" s="704">
        <v>52449.880000000005</v>
      </c>
      <c r="X35" s="710">
        <f>J35-W35</f>
        <v>-43059.23</v>
      </c>
      <c r="Y35" s="151">
        <f t="shared" si="2"/>
        <v>9390.6500000000015</v>
      </c>
      <c r="AB35" s="162">
        <f t="shared" si="5"/>
        <v>0</v>
      </c>
    </row>
    <row r="36" spans="1:28" s="44" customFormat="1" ht="20.25" x14ac:dyDescent="0.2">
      <c r="A36" s="43"/>
      <c r="B36" s="43"/>
      <c r="C36" s="47"/>
      <c r="D36" s="792" t="s">
        <v>109</v>
      </c>
      <c r="E36" s="792"/>
      <c r="F36" s="792"/>
      <c r="G36" s="151"/>
      <c r="H36" s="182"/>
      <c r="I36" s="182"/>
      <c r="J36" s="151">
        <v>9411.66</v>
      </c>
      <c r="K36" s="151">
        <v>66550</v>
      </c>
      <c r="L36" s="182"/>
      <c r="M36" s="151">
        <f>M34*0.213+M35*0.14</f>
        <v>50518.459699999999</v>
      </c>
      <c r="O36" s="151">
        <v>9777</v>
      </c>
      <c r="Q36" s="337">
        <f t="shared" si="6"/>
        <v>-365.34000000000015</v>
      </c>
      <c r="R36" s="694">
        <f t="shared" si="7"/>
        <v>-3.7367290579932509E-2</v>
      </c>
      <c r="T36" s="719"/>
      <c r="U36" s="151">
        <f>0.19*SUM(U34:U35)</f>
        <v>66623.69</v>
      </c>
      <c r="V36" s="702" t="s">
        <v>109</v>
      </c>
      <c r="W36" s="704">
        <v>32739</v>
      </c>
      <c r="X36" s="710">
        <f>J36-W36</f>
        <v>-23327.34</v>
      </c>
      <c r="Y36" s="151">
        <f t="shared" si="2"/>
        <v>9411.66</v>
      </c>
      <c r="AB36" s="162">
        <f t="shared" si="5"/>
        <v>0</v>
      </c>
    </row>
    <row r="37" spans="1:28" s="44" customFormat="1" ht="20.25" x14ac:dyDescent="0.2">
      <c r="A37" s="43"/>
      <c r="B37" s="43"/>
      <c r="C37" s="47" t="s">
        <v>268</v>
      </c>
      <c r="D37" s="47"/>
      <c r="E37" s="47"/>
      <c r="F37" s="47"/>
      <c r="G37" s="151">
        <v>44745.18</v>
      </c>
      <c r="H37" s="151">
        <v>20974.21</v>
      </c>
      <c r="I37" s="151"/>
      <c r="J37" s="500"/>
      <c r="K37" s="500"/>
      <c r="L37" s="500"/>
      <c r="M37" s="500"/>
      <c r="O37" s="500"/>
      <c r="Q37" s="337">
        <f t="shared" si="6"/>
        <v>0</v>
      </c>
      <c r="R37" s="694" t="e">
        <f t="shared" si="7"/>
        <v>#DIV/0!</v>
      </c>
      <c r="U37" s="500"/>
      <c r="V37" s="47" t="str">
        <f t="shared" si="1"/>
        <v xml:space="preserve">Transportation Services </v>
      </c>
      <c r="W37" s="151"/>
      <c r="X37" s="707"/>
      <c r="Y37" s="151"/>
      <c r="AB37" s="162">
        <f t="shared" si="5"/>
        <v>0</v>
      </c>
    </row>
    <row r="38" spans="1:28" s="44" customFormat="1" ht="20.25" x14ac:dyDescent="0.2">
      <c r="A38" s="43"/>
      <c r="B38" s="43"/>
      <c r="C38" s="47"/>
      <c r="D38" s="792" t="s">
        <v>216</v>
      </c>
      <c r="E38" s="792"/>
      <c r="F38" s="792"/>
      <c r="G38" s="151"/>
      <c r="H38" s="151"/>
      <c r="I38" s="151"/>
      <c r="J38" s="151">
        <v>4787.6899999999996</v>
      </c>
      <c r="K38" s="151">
        <v>30153.51</v>
      </c>
      <c r="L38" s="151"/>
      <c r="M38" s="151">
        <v>27258.59</v>
      </c>
      <c r="O38" s="151">
        <v>3919</v>
      </c>
      <c r="Q38" s="337">
        <f t="shared" si="6"/>
        <v>868.6899999999996</v>
      </c>
      <c r="R38" s="694">
        <f t="shared" si="7"/>
        <v>0.22166113804541965</v>
      </c>
      <c r="U38" s="151">
        <f>AVERAGE(J38:K38)</f>
        <v>17470.599999999999</v>
      </c>
      <c r="V38" s="702" t="s">
        <v>675</v>
      </c>
      <c r="W38" s="151">
        <v>14702.69</v>
      </c>
      <c r="X38" s="707">
        <f t="shared" ref="X38:X53" si="8">J38-W38</f>
        <v>-9915</v>
      </c>
      <c r="Y38" s="151">
        <f t="shared" ref="Y38:Y52" si="9">X38+W38</f>
        <v>4787.6900000000005</v>
      </c>
      <c r="AB38" s="162">
        <f t="shared" si="5"/>
        <v>0</v>
      </c>
    </row>
    <row r="39" spans="1:28" s="44" customFormat="1" ht="20.25" x14ac:dyDescent="0.2">
      <c r="A39" s="43"/>
      <c r="B39" s="43"/>
      <c r="C39" s="47"/>
      <c r="D39" s="792" t="s">
        <v>217</v>
      </c>
      <c r="E39" s="792"/>
      <c r="F39" s="792"/>
      <c r="G39" s="151"/>
      <c r="H39" s="151"/>
      <c r="I39" s="151"/>
      <c r="J39" s="151">
        <f>3969.03-1139.46</f>
        <v>2829.57</v>
      </c>
      <c r="K39" s="151">
        <v>14326.95</v>
      </c>
      <c r="L39" s="151"/>
      <c r="M39" s="151">
        <v>11427.11</v>
      </c>
      <c r="O39" s="151">
        <v>2370</v>
      </c>
      <c r="Q39" s="337">
        <f t="shared" si="6"/>
        <v>459.57000000000016</v>
      </c>
      <c r="R39" s="694">
        <f t="shared" si="7"/>
        <v>0.19391139240506336</v>
      </c>
      <c r="U39" s="151">
        <v>18807</v>
      </c>
      <c r="V39" s="702" t="s">
        <v>217</v>
      </c>
      <c r="W39" s="151">
        <v>7152.93</v>
      </c>
      <c r="X39" s="707">
        <f t="shared" si="8"/>
        <v>-4323.3600000000006</v>
      </c>
      <c r="Y39" s="151">
        <f t="shared" si="9"/>
        <v>2829.5699999999997</v>
      </c>
      <c r="AB39" s="162">
        <f t="shared" si="5"/>
        <v>0</v>
      </c>
    </row>
    <row r="40" spans="1:28" s="44" customFormat="1" ht="20.25" x14ac:dyDescent="0.2">
      <c r="A40" s="43"/>
      <c r="B40" s="43"/>
      <c r="C40" s="47"/>
      <c r="D40" s="792" t="s">
        <v>293</v>
      </c>
      <c r="E40" s="792"/>
      <c r="F40" s="792"/>
      <c r="G40" s="151"/>
      <c r="H40" s="151"/>
      <c r="I40" s="151"/>
      <c r="J40" s="151">
        <v>2277.02</v>
      </c>
      <c r="K40" s="151">
        <v>17577.849999999999</v>
      </c>
      <c r="L40" s="151"/>
      <c r="M40" s="151">
        <v>13203.2</v>
      </c>
      <c r="O40" s="151">
        <v>1464</v>
      </c>
      <c r="Q40" s="337">
        <f t="shared" si="6"/>
        <v>813.02</v>
      </c>
      <c r="R40" s="694">
        <f t="shared" si="7"/>
        <v>0.55534153005464482</v>
      </c>
      <c r="U40" s="151">
        <f>AVERAGE(J40:K40)</f>
        <v>9927.4349999999995</v>
      </c>
      <c r="V40" s="702" t="s">
        <v>293</v>
      </c>
      <c r="W40" s="151">
        <v>11459.55</v>
      </c>
      <c r="X40" s="707">
        <f t="shared" si="8"/>
        <v>-9182.5299999999988</v>
      </c>
      <c r="Y40" s="151">
        <f t="shared" si="9"/>
        <v>2277.0200000000004</v>
      </c>
      <c r="AB40" s="162">
        <f t="shared" si="5"/>
        <v>0</v>
      </c>
    </row>
    <row r="41" spans="1:28" s="44" customFormat="1" ht="20.25" x14ac:dyDescent="0.2">
      <c r="A41" s="43"/>
      <c r="B41" s="43"/>
      <c r="C41" s="47"/>
      <c r="D41" s="792" t="s">
        <v>218</v>
      </c>
      <c r="E41" s="792"/>
      <c r="F41" s="792"/>
      <c r="G41" s="151"/>
      <c r="H41" s="151"/>
      <c r="I41" s="151"/>
      <c r="J41" s="151">
        <v>148.5</v>
      </c>
      <c r="K41" s="151">
        <v>629</v>
      </c>
      <c r="L41" s="151"/>
      <c r="M41" s="151">
        <v>710.5</v>
      </c>
      <c r="O41" s="151">
        <v>98</v>
      </c>
      <c r="Q41" s="337">
        <f t="shared" si="6"/>
        <v>50.5</v>
      </c>
      <c r="R41" s="694">
        <f t="shared" si="7"/>
        <v>0.51530612244897955</v>
      </c>
      <c r="U41" s="151">
        <f>AVERAGE(J41:K41)</f>
        <v>388.75</v>
      </c>
      <c r="V41" s="702" t="s">
        <v>218</v>
      </c>
      <c r="W41" s="151">
        <v>99</v>
      </c>
      <c r="X41" s="707">
        <f t="shared" si="8"/>
        <v>49.5</v>
      </c>
      <c r="Y41" s="151">
        <f t="shared" si="9"/>
        <v>148.5</v>
      </c>
      <c r="AB41" s="162">
        <f t="shared" si="5"/>
        <v>0</v>
      </c>
    </row>
    <row r="42" spans="1:28" s="44" customFormat="1" ht="20.25" x14ac:dyDescent="0.2">
      <c r="A42" s="43"/>
      <c r="B42" s="43"/>
      <c r="C42" s="47" t="s">
        <v>301</v>
      </c>
      <c r="D42" s="47"/>
      <c r="E42" s="47"/>
      <c r="F42" s="47"/>
      <c r="G42" s="151"/>
      <c r="H42" s="182"/>
      <c r="I42" s="182"/>
      <c r="J42" s="337">
        <f>461.38+296.74</f>
        <v>758.12</v>
      </c>
      <c r="K42" s="151">
        <v>4268</v>
      </c>
      <c r="L42" s="182"/>
      <c r="M42" s="151">
        <v>3788.1</v>
      </c>
      <c r="O42" s="151">
        <v>759</v>
      </c>
      <c r="Q42" s="337">
        <f t="shared" si="6"/>
        <v>-0.87999999999999545</v>
      </c>
      <c r="R42" s="694">
        <f t="shared" si="7"/>
        <v>-1.1594202898550666E-3</v>
      </c>
      <c r="U42" s="151">
        <f>AVERAGE(J42:K42)</f>
        <v>2513.06</v>
      </c>
      <c r="V42" s="47" t="str">
        <f t="shared" ref="V42:V52" si="10">C42</f>
        <v>Transportation Scheduling Software-RoutingBox</v>
      </c>
      <c r="W42" s="151">
        <v>2322.4</v>
      </c>
      <c r="X42" s="707">
        <f t="shared" ref="X42:X52" si="11">J42-W42</f>
        <v>-1564.2800000000002</v>
      </c>
      <c r="Y42" s="151">
        <f t="shared" si="9"/>
        <v>758.11999999999989</v>
      </c>
      <c r="AB42" s="162">
        <f t="shared" ref="AB42:AB52" si="12">Y42-J42</f>
        <v>0</v>
      </c>
    </row>
    <row r="43" spans="1:28" s="44" customFormat="1" ht="20.25" x14ac:dyDescent="0.2">
      <c r="A43" s="43"/>
      <c r="B43" s="43"/>
      <c r="C43" s="47" t="s">
        <v>510</v>
      </c>
      <c r="D43" s="47"/>
      <c r="E43" s="47"/>
      <c r="F43" s="47"/>
      <c r="G43" s="151"/>
      <c r="H43" s="182"/>
      <c r="I43" s="182"/>
      <c r="J43" s="337">
        <v>125</v>
      </c>
      <c r="K43" s="151">
        <v>2033.5</v>
      </c>
      <c r="L43" s="182"/>
      <c r="M43" s="151">
        <v>1556.4</v>
      </c>
      <c r="O43" s="151">
        <v>298</v>
      </c>
      <c r="Q43" s="337">
        <f t="shared" si="6"/>
        <v>-173</v>
      </c>
      <c r="R43" s="694">
        <f t="shared" si="7"/>
        <v>-0.58053691275167785</v>
      </c>
      <c r="U43" s="151">
        <f>AVERAGE(J43:K43)</f>
        <v>1079.25</v>
      </c>
      <c r="V43" s="47" t="str">
        <f t="shared" si="10"/>
        <v>Transportation Billing Software-Kinetik</v>
      </c>
      <c r="W43" s="337">
        <v>1051.8</v>
      </c>
      <c r="X43" s="707">
        <f t="shared" si="11"/>
        <v>-926.8</v>
      </c>
      <c r="Y43" s="151">
        <f t="shared" si="9"/>
        <v>125</v>
      </c>
      <c r="AB43" s="162">
        <f t="shared" si="12"/>
        <v>0</v>
      </c>
    </row>
    <row r="44" spans="1:28" s="44" customFormat="1" ht="20.25" x14ac:dyDescent="0.2">
      <c r="A44" s="43"/>
      <c r="B44" s="43"/>
      <c r="C44" s="47" t="s">
        <v>439</v>
      </c>
      <c r="D44" s="47"/>
      <c r="E44" s="47"/>
      <c r="F44" s="47"/>
      <c r="G44" s="151">
        <v>27200</v>
      </c>
      <c r="H44" s="151">
        <v>11327</v>
      </c>
      <c r="I44" s="151"/>
      <c r="J44" s="151">
        <f>(1532+1929)*2</f>
        <v>6922</v>
      </c>
      <c r="K44" s="151">
        <v>41316</v>
      </c>
      <c r="L44" s="151"/>
      <c r="M44" s="151">
        <v>22747.5</v>
      </c>
      <c r="O44" s="151">
        <v>4550</v>
      </c>
      <c r="Q44" s="337">
        <f t="shared" si="6"/>
        <v>2372</v>
      </c>
      <c r="R44" s="694">
        <f t="shared" si="7"/>
        <v>0.52131868131868131</v>
      </c>
      <c r="U44" s="151">
        <v>42000</v>
      </c>
      <c r="V44" s="47" t="str">
        <f t="shared" si="10"/>
        <v>Depreciation &amp; Amortization -Vehicles</v>
      </c>
      <c r="W44" s="151">
        <v>20658</v>
      </c>
      <c r="X44" s="707">
        <f t="shared" si="11"/>
        <v>-13736</v>
      </c>
      <c r="Y44" s="151">
        <f t="shared" si="9"/>
        <v>6922</v>
      </c>
      <c r="AB44" s="162">
        <f t="shared" si="12"/>
        <v>0</v>
      </c>
    </row>
    <row r="45" spans="1:28" s="44" customFormat="1" ht="20.25" x14ac:dyDescent="0.2">
      <c r="A45" s="43"/>
      <c r="B45" s="43"/>
      <c r="C45" s="47" t="s">
        <v>220</v>
      </c>
      <c r="D45" s="47"/>
      <c r="E45" s="47"/>
      <c r="F45" s="47"/>
      <c r="G45" s="151"/>
      <c r="H45" s="182"/>
      <c r="I45" s="182"/>
      <c r="J45" s="151">
        <v>464.51</v>
      </c>
      <c r="K45" s="151">
        <f>400+3688.83</f>
        <v>4088.83</v>
      </c>
      <c r="L45" s="182"/>
      <c r="M45" s="151">
        <f>140+673</f>
        <v>813</v>
      </c>
      <c r="O45" s="151">
        <v>2156</v>
      </c>
      <c r="Q45" s="337">
        <f t="shared" si="6"/>
        <v>-1691.49</v>
      </c>
      <c r="R45" s="694">
        <f t="shared" si="7"/>
        <v>-0.78455009276437848</v>
      </c>
      <c r="U45" s="151">
        <v>4000</v>
      </c>
      <c r="V45" s="47" t="str">
        <f t="shared" si="10"/>
        <v>Audit</v>
      </c>
      <c r="W45" s="337">
        <v>3749</v>
      </c>
      <c r="X45" s="707">
        <f t="shared" si="11"/>
        <v>-3284.49</v>
      </c>
      <c r="Y45" s="151">
        <f t="shared" si="9"/>
        <v>464.51000000000022</v>
      </c>
      <c r="AB45" s="162">
        <f t="shared" si="12"/>
        <v>0</v>
      </c>
    </row>
    <row r="46" spans="1:28" s="44" customFormat="1" ht="20.25" x14ac:dyDescent="0.2">
      <c r="A46" s="43"/>
      <c r="B46" s="43"/>
      <c r="C46" s="47" t="s">
        <v>222</v>
      </c>
      <c r="D46" s="47"/>
      <c r="E46" s="47"/>
      <c r="F46" s="47"/>
      <c r="G46" s="151"/>
      <c r="H46" s="182"/>
      <c r="I46" s="182"/>
      <c r="J46" s="151">
        <v>674.29</v>
      </c>
      <c r="K46" s="151">
        <f>290+7325.5</f>
        <v>7615.5</v>
      </c>
      <c r="L46" s="182"/>
      <c r="M46" s="151"/>
      <c r="O46" s="151">
        <v>0</v>
      </c>
      <c r="Q46" s="337">
        <f t="shared" si="6"/>
        <v>674.29</v>
      </c>
      <c r="R46" s="694" t="e">
        <f t="shared" si="7"/>
        <v>#DIV/0!</v>
      </c>
      <c r="U46" s="151">
        <v>8400</v>
      </c>
      <c r="V46" s="47" t="str">
        <f t="shared" si="10"/>
        <v>General Insurance</v>
      </c>
      <c r="W46" s="337">
        <v>3948</v>
      </c>
      <c r="X46" s="707">
        <f t="shared" si="11"/>
        <v>-3273.71</v>
      </c>
      <c r="Y46" s="151">
        <f t="shared" si="9"/>
        <v>674.29</v>
      </c>
      <c r="AB46" s="162">
        <f t="shared" si="12"/>
        <v>0</v>
      </c>
    </row>
    <row r="47" spans="1:28" s="44" customFormat="1" ht="20.25" x14ac:dyDescent="0.2">
      <c r="A47" s="43"/>
      <c r="B47" s="43"/>
      <c r="C47" s="47" t="s">
        <v>30</v>
      </c>
      <c r="D47" s="47"/>
      <c r="E47" s="47"/>
      <c r="F47" s="47"/>
      <c r="G47" s="151"/>
      <c r="H47" s="182"/>
      <c r="I47" s="182"/>
      <c r="J47" s="151">
        <v>998.98</v>
      </c>
      <c r="K47" s="151">
        <f>'February''25 State of Activities'!H54</f>
        <v>7493.88</v>
      </c>
      <c r="L47" s="182"/>
      <c r="M47" s="151">
        <v>4442</v>
      </c>
      <c r="O47" s="151">
        <v>1026</v>
      </c>
      <c r="Q47" s="337">
        <f t="shared" si="6"/>
        <v>-27.019999999999982</v>
      </c>
      <c r="R47" s="694">
        <f t="shared" si="7"/>
        <v>-2.6335282651072107E-2</v>
      </c>
      <c r="U47" s="151">
        <f>AVERAGE(J47:K47)</f>
        <v>4246.43</v>
      </c>
      <c r="V47" s="47" t="str">
        <f t="shared" si="10"/>
        <v>Interest</v>
      </c>
      <c r="W47" s="151">
        <v>3746.94</v>
      </c>
      <c r="X47" s="707">
        <f t="shared" si="11"/>
        <v>-2747.96</v>
      </c>
      <c r="Y47" s="151">
        <f t="shared" si="9"/>
        <v>998.98</v>
      </c>
      <c r="AB47" s="162">
        <f t="shared" si="12"/>
        <v>0</v>
      </c>
    </row>
    <row r="48" spans="1:28" s="44" customFormat="1" ht="20.25" x14ac:dyDescent="0.2">
      <c r="A48" s="43"/>
      <c r="B48" s="43"/>
      <c r="C48" s="47" t="s">
        <v>100</v>
      </c>
      <c r="D48" s="47"/>
      <c r="E48" s="47"/>
      <c r="F48" s="47"/>
      <c r="G48" s="151">
        <v>150176</v>
      </c>
      <c r="H48" s="182">
        <v>47700.27</v>
      </c>
      <c r="I48" s="182"/>
      <c r="J48" s="151">
        <f>J26</f>
        <v>1758</v>
      </c>
      <c r="K48" s="151">
        <f>K26</f>
        <v>10548</v>
      </c>
      <c r="L48" s="182"/>
      <c r="M48" s="151">
        <f>M26</f>
        <v>1758</v>
      </c>
      <c r="O48" s="151">
        <f>O26</f>
        <v>1758</v>
      </c>
      <c r="Q48" s="337">
        <f t="shared" si="6"/>
        <v>0</v>
      </c>
      <c r="R48" s="694">
        <f t="shared" si="7"/>
        <v>0</v>
      </c>
      <c r="U48" s="151">
        <f>J48</f>
        <v>1758</v>
      </c>
      <c r="V48" s="47" t="str">
        <f t="shared" si="10"/>
        <v>In-Kind Rent</v>
      </c>
      <c r="W48" s="151">
        <v>5274</v>
      </c>
      <c r="X48" s="707">
        <f t="shared" si="11"/>
        <v>-3516</v>
      </c>
      <c r="Y48" s="151">
        <f t="shared" si="9"/>
        <v>1758</v>
      </c>
      <c r="AB48" s="162">
        <f t="shared" si="12"/>
        <v>0</v>
      </c>
    </row>
    <row r="49" spans="1:30" s="44" customFormat="1" ht="20.25" x14ac:dyDescent="0.2">
      <c r="A49" s="43"/>
      <c r="B49" s="43"/>
      <c r="C49" s="47" t="s">
        <v>118</v>
      </c>
      <c r="D49" s="47"/>
      <c r="E49" s="47"/>
      <c r="F49" s="47"/>
      <c r="G49" s="151">
        <v>4412.53</v>
      </c>
      <c r="H49" s="183">
        <v>5667</v>
      </c>
      <c r="I49" s="183"/>
      <c r="J49" s="151">
        <v>323</v>
      </c>
      <c r="K49" s="151">
        <f>668+6689.21</f>
        <v>7357.21</v>
      </c>
      <c r="L49" s="183"/>
      <c r="M49" s="151">
        <v>5818.33</v>
      </c>
      <c r="O49" s="151">
        <v>1092</v>
      </c>
      <c r="Q49" s="337">
        <f t="shared" si="6"/>
        <v>-769</v>
      </c>
      <c r="R49" s="694">
        <f t="shared" si="7"/>
        <v>-0.70421245421245426</v>
      </c>
      <c r="U49" s="151">
        <f t="shared" ref="U49:U54" si="13">AVERAGE(J49:K49)</f>
        <v>3840.105</v>
      </c>
      <c r="V49" s="47" t="str">
        <f t="shared" si="10"/>
        <v>Network/Computer/Website</v>
      </c>
      <c r="W49" s="151">
        <v>3868.56</v>
      </c>
      <c r="X49" s="707">
        <f t="shared" si="11"/>
        <v>-3545.56</v>
      </c>
      <c r="Y49" s="151">
        <f t="shared" si="9"/>
        <v>323</v>
      </c>
      <c r="AB49" s="162">
        <f t="shared" si="12"/>
        <v>0</v>
      </c>
    </row>
    <row r="50" spans="1:30" s="44" customFormat="1" ht="20.25" x14ac:dyDescent="0.2">
      <c r="A50" s="43"/>
      <c r="C50" s="47" t="s">
        <v>221</v>
      </c>
      <c r="D50" s="47"/>
      <c r="E50" s="47"/>
      <c r="F50" s="47"/>
      <c r="G50" s="151">
        <v>10250.949999999999</v>
      </c>
      <c r="H50" s="182">
        <v>3982.99</v>
      </c>
      <c r="I50" s="182"/>
      <c r="J50" s="151">
        <v>75.97</v>
      </c>
      <c r="K50" s="151">
        <f>410+247.23+70+142</f>
        <v>869.23</v>
      </c>
      <c r="L50" s="182"/>
      <c r="M50" s="151">
        <v>570.36</v>
      </c>
      <c r="O50" s="151">
        <v>169</v>
      </c>
      <c r="Q50" s="337">
        <f t="shared" si="6"/>
        <v>-93.03</v>
      </c>
      <c r="R50" s="694">
        <f t="shared" si="7"/>
        <v>-0.55047337278106512</v>
      </c>
      <c r="U50" s="151">
        <f t="shared" si="13"/>
        <v>472.6</v>
      </c>
      <c r="V50" s="47" t="str">
        <f t="shared" si="10"/>
        <v>Office &amp; Program Supplies</v>
      </c>
      <c r="W50" s="151">
        <v>355.65999999999997</v>
      </c>
      <c r="X50" s="707">
        <f t="shared" si="11"/>
        <v>-279.68999999999994</v>
      </c>
      <c r="Y50" s="151">
        <f t="shared" si="9"/>
        <v>75.970000000000027</v>
      </c>
      <c r="AB50" s="162">
        <f t="shared" si="12"/>
        <v>0</v>
      </c>
    </row>
    <row r="51" spans="1:30" s="44" customFormat="1" ht="20.25" x14ac:dyDescent="0.2">
      <c r="A51" s="43"/>
      <c r="C51" s="47" t="s">
        <v>112</v>
      </c>
      <c r="D51" s="47"/>
      <c r="E51" s="47"/>
      <c r="F51" s="47"/>
      <c r="G51" s="151">
        <v>5428.37</v>
      </c>
      <c r="H51" s="182">
        <v>2024.52</v>
      </c>
      <c r="I51" s="182"/>
      <c r="J51" s="151">
        <v>174.29</v>
      </c>
      <c r="K51" s="151">
        <f>80+225</f>
        <v>305</v>
      </c>
      <c r="L51" s="182"/>
      <c r="M51" s="151">
        <v>350.51</v>
      </c>
      <c r="O51" s="151">
        <v>216</v>
      </c>
      <c r="Q51" s="337">
        <f t="shared" si="6"/>
        <v>-41.710000000000008</v>
      </c>
      <c r="R51" s="694">
        <f t="shared" si="7"/>
        <v>-0.19310185185185189</v>
      </c>
      <c r="U51" s="151">
        <f t="shared" si="13"/>
        <v>239.64499999999998</v>
      </c>
      <c r="V51" s="47" t="str">
        <f t="shared" si="10"/>
        <v>Postage</v>
      </c>
      <c r="W51" s="151">
        <v>237.98</v>
      </c>
      <c r="X51" s="707">
        <f t="shared" si="11"/>
        <v>-63.69</v>
      </c>
      <c r="Y51" s="151">
        <f t="shared" si="9"/>
        <v>174.29</v>
      </c>
      <c r="AB51" s="162">
        <f t="shared" si="12"/>
        <v>0</v>
      </c>
    </row>
    <row r="52" spans="1:30" s="44" customFormat="1" ht="20.25" x14ac:dyDescent="0.2">
      <c r="A52" s="43"/>
      <c r="C52" s="47" t="s">
        <v>116</v>
      </c>
      <c r="D52" s="47"/>
      <c r="E52" s="47"/>
      <c r="F52" s="47"/>
      <c r="G52" s="151">
        <v>7901</v>
      </c>
      <c r="H52" s="182">
        <v>4149.6000000000004</v>
      </c>
      <c r="I52" s="182"/>
      <c r="J52" s="151">
        <v>174.4</v>
      </c>
      <c r="K52" s="151">
        <f>125+1270.74</f>
        <v>1395.74</v>
      </c>
      <c r="L52" s="182"/>
      <c r="M52" s="151">
        <v>487.36</v>
      </c>
      <c r="O52" s="151">
        <v>68</v>
      </c>
      <c r="Q52" s="337">
        <f t="shared" si="6"/>
        <v>106.4</v>
      </c>
      <c r="R52" s="694">
        <f t="shared" si="7"/>
        <v>1.5647058823529412</v>
      </c>
      <c r="U52" s="151">
        <f t="shared" si="13"/>
        <v>785.07</v>
      </c>
      <c r="V52" s="47" t="str">
        <f t="shared" si="10"/>
        <v>Printing and Copying</v>
      </c>
      <c r="W52" s="151">
        <v>516.36</v>
      </c>
      <c r="X52" s="707">
        <f t="shared" si="11"/>
        <v>-341.96000000000004</v>
      </c>
      <c r="Y52" s="151">
        <f t="shared" si="9"/>
        <v>174.39999999999998</v>
      </c>
      <c r="AB52" s="162">
        <f t="shared" si="12"/>
        <v>0</v>
      </c>
    </row>
    <row r="53" spans="1:30" s="44" customFormat="1" ht="20.25" x14ac:dyDescent="0.2">
      <c r="A53" s="43"/>
      <c r="B53" s="43"/>
      <c r="C53" s="47" t="s">
        <v>365</v>
      </c>
      <c r="D53" s="47"/>
      <c r="E53" s="47"/>
      <c r="F53" s="47"/>
      <c r="G53" s="151">
        <v>10993.12</v>
      </c>
      <c r="H53" s="182">
        <v>4904.57</v>
      </c>
      <c r="I53" s="182"/>
      <c r="J53" s="151">
        <v>383.39</v>
      </c>
      <c r="K53" s="151">
        <f>5739.91+2040</f>
        <v>7779.91</v>
      </c>
      <c r="L53" s="182"/>
      <c r="M53" s="151">
        <v>6911.08</v>
      </c>
      <c r="O53" s="151">
        <v>1341</v>
      </c>
      <c r="Q53" s="337">
        <f t="shared" si="6"/>
        <v>-957.61</v>
      </c>
      <c r="R53" s="694">
        <f t="shared" si="7"/>
        <v>-0.71410141685309469</v>
      </c>
      <c r="U53" s="151">
        <f t="shared" si="13"/>
        <v>4081.65</v>
      </c>
      <c r="V53" s="47" t="str">
        <f t="shared" si="1"/>
        <v>Telephone &amp; Internet</v>
      </c>
      <c r="W53" s="151">
        <v>4021.16</v>
      </c>
      <c r="X53" s="707">
        <f t="shared" si="8"/>
        <v>-3637.77</v>
      </c>
      <c r="Y53" s="151">
        <f t="shared" si="2"/>
        <v>383.38999999999987</v>
      </c>
      <c r="AB53" s="162">
        <f t="shared" si="5"/>
        <v>0</v>
      </c>
    </row>
    <row r="54" spans="1:30" s="44" customFormat="1" ht="20.25" x14ac:dyDescent="0.2">
      <c r="A54" s="47"/>
      <c r="B54" s="47"/>
      <c r="C54" s="47" t="s">
        <v>223</v>
      </c>
      <c r="D54" s="47"/>
      <c r="E54" s="47"/>
      <c r="F54" s="47"/>
      <c r="G54" s="151">
        <v>83462.91</v>
      </c>
      <c r="H54" s="151">
        <v>18995.71</v>
      </c>
      <c r="I54" s="151"/>
      <c r="J54" s="153">
        <v>46.02</v>
      </c>
      <c r="K54" s="153">
        <f>450+189.68+20</f>
        <v>659.68000000000006</v>
      </c>
      <c r="L54" s="151"/>
      <c r="M54" s="153">
        <f>17.65*2+79.5+105+409.5</f>
        <v>629.29999999999995</v>
      </c>
      <c r="O54" s="153">
        <v>1546</v>
      </c>
      <c r="Q54" s="337">
        <f t="shared" si="6"/>
        <v>-1499.98</v>
      </c>
      <c r="R54" s="694">
        <f t="shared" si="7"/>
        <v>-0.97023285899094436</v>
      </c>
      <c r="U54" s="151">
        <f t="shared" si="13"/>
        <v>352.85</v>
      </c>
      <c r="V54" s="47" t="str">
        <f t="shared" si="1"/>
        <v>Other Expenses</v>
      </c>
      <c r="W54" s="151">
        <f>17.65+112.3</f>
        <v>129.94999999999999</v>
      </c>
      <c r="X54" s="707">
        <f>J54-W54</f>
        <v>-83.929999999999978</v>
      </c>
      <c r="Y54" s="151">
        <f t="shared" si="2"/>
        <v>46.02000000000001</v>
      </c>
      <c r="AB54" s="162">
        <f t="shared" si="5"/>
        <v>0</v>
      </c>
    </row>
    <row r="55" spans="1:30" s="44" customFormat="1" ht="21" thickBot="1" x14ac:dyDescent="0.25">
      <c r="A55" s="43"/>
      <c r="B55" s="43"/>
      <c r="C55" s="43"/>
      <c r="D55" s="43" t="s">
        <v>124</v>
      </c>
      <c r="E55" s="43"/>
      <c r="F55" s="43"/>
      <c r="G55" s="158">
        <v>1078317.8599999999</v>
      </c>
      <c r="H55" s="158">
        <v>481701.87000000005</v>
      </c>
      <c r="I55" s="151"/>
      <c r="J55" s="315">
        <f>SUM(J34:J54)</f>
        <v>80754.27999999997</v>
      </c>
      <c r="K55" s="315">
        <f>SUM(K34:K54)</f>
        <v>570665.70000000007</v>
      </c>
      <c r="L55" s="151"/>
      <c r="M55" s="315">
        <f>SUM(M34:M54)</f>
        <v>413273.79970000003</v>
      </c>
      <c r="O55" s="315">
        <f>SUM(O34:O54)</f>
        <v>84971</v>
      </c>
      <c r="Q55" s="315">
        <f>J55-O55</f>
        <v>-4216.7200000000303</v>
      </c>
      <c r="R55" s="777">
        <f>(J55-O55)/O55</f>
        <v>-4.9625401607607658E-2</v>
      </c>
      <c r="S55" s="162"/>
      <c r="U55" s="315">
        <f>SUM(U34:U54)</f>
        <v>537637.13499999989</v>
      </c>
      <c r="V55" s="703" t="s">
        <v>124</v>
      </c>
      <c r="W55" s="315">
        <f>SUM(W34:W54)</f>
        <v>284625.12999999995</v>
      </c>
      <c r="X55" s="711">
        <f>SUM(X34:X54)</f>
        <v>-203870.84999999992</v>
      </c>
      <c r="Y55" s="315">
        <v>569937</v>
      </c>
      <c r="AB55" s="162">
        <f>J55-Y55</f>
        <v>-489182.72000000003</v>
      </c>
    </row>
    <row r="56" spans="1:30" s="44" customFormat="1" ht="21" thickBot="1" x14ac:dyDescent="0.25">
      <c r="A56" s="43"/>
      <c r="B56" s="43"/>
      <c r="C56" s="43"/>
      <c r="D56" s="43" t="s">
        <v>125</v>
      </c>
      <c r="E56" s="43"/>
      <c r="F56" s="43"/>
      <c r="G56" s="158">
        <v>233082.39000000013</v>
      </c>
      <c r="H56" s="158">
        <v>82291.709999999905</v>
      </c>
      <c r="I56" s="151"/>
      <c r="J56" s="316">
        <f>J30-J55</f>
        <v>7339.3566666666884</v>
      </c>
      <c r="K56" s="316">
        <f>K30-K55</f>
        <v>45441.29999999993</v>
      </c>
      <c r="L56" s="151"/>
      <c r="M56" s="316">
        <f>M30-M55</f>
        <v>-62933.603033333318</v>
      </c>
      <c r="O56" s="316">
        <f>O30-O55</f>
        <v>7350</v>
      </c>
      <c r="Q56" s="316">
        <f>J56-O56</f>
        <v>-10.643333333311602</v>
      </c>
      <c r="R56" s="778">
        <f>(J56-O56)/O56</f>
        <v>-1.44807256235532E-3</v>
      </c>
      <c r="U56" s="316">
        <f>U30-U55</f>
        <v>-106777.0806410255</v>
      </c>
      <c r="V56" s="703" t="s">
        <v>676</v>
      </c>
      <c r="W56" s="316">
        <f>W30-W55</f>
        <v>7792.6500000000233</v>
      </c>
      <c r="X56" s="712">
        <f>J56-W56</f>
        <v>-453.29333333333489</v>
      </c>
      <c r="Y56" s="316">
        <f>Y30-Y55</f>
        <v>-481723.36333333334</v>
      </c>
      <c r="AC56" s="262">
        <f>W56+AB56</f>
        <v>7792.6500000000233</v>
      </c>
      <c r="AD56" s="262">
        <f>J56-Y56</f>
        <v>489062.72000000003</v>
      </c>
    </row>
    <row r="57" spans="1:30" s="44" customFormat="1" ht="20.25" x14ac:dyDescent="0.2">
      <c r="A57" s="43"/>
      <c r="B57" s="43"/>
      <c r="C57" s="43"/>
      <c r="D57" s="43"/>
      <c r="E57" s="43"/>
      <c r="F57" s="43"/>
      <c r="G57" s="151"/>
      <c r="H57" s="151"/>
      <c r="I57" s="151"/>
      <c r="J57" s="151"/>
      <c r="K57" s="151"/>
      <c r="L57" s="151"/>
      <c r="M57" s="151"/>
      <c r="O57" s="151"/>
      <c r="R57" s="39"/>
      <c r="U57" s="151"/>
      <c r="V57" s="47"/>
      <c r="W57" s="151"/>
      <c r="X57" s="707"/>
      <c r="Y57" s="151">
        <f t="shared" si="2"/>
        <v>0</v>
      </c>
      <c r="AC57" s="162">
        <f>AC56-AC30</f>
        <v>-1103.1299999999464</v>
      </c>
    </row>
    <row r="58" spans="1:30" s="41" customFormat="1" ht="26.25" x14ac:dyDescent="0.2">
      <c r="A58" s="176"/>
      <c r="B58" s="176"/>
      <c r="C58" s="47" t="s">
        <v>524</v>
      </c>
      <c r="E58" s="47"/>
      <c r="F58" s="47"/>
      <c r="G58" s="178"/>
      <c r="H58" s="151"/>
      <c r="I58" s="151"/>
      <c r="J58" s="151">
        <f>2293.4*2</f>
        <v>4586.8</v>
      </c>
      <c r="K58" s="151">
        <v>-23148</v>
      </c>
      <c r="L58" s="151"/>
      <c r="M58" s="151">
        <v>-36394</v>
      </c>
      <c r="O58" s="151">
        <v>-5960</v>
      </c>
      <c r="Q58" s="337">
        <f>J58-O58</f>
        <v>10546.8</v>
      </c>
      <c r="R58" s="694">
        <f>(J58-O58)/O58</f>
        <v>-1.7695973154362414</v>
      </c>
      <c r="U58" s="151">
        <f>2293.4*12*-1</f>
        <v>-27520.800000000003</v>
      </c>
      <c r="V58" s="47" t="str">
        <f t="shared" si="1"/>
        <v>Less: Lease Payments</v>
      </c>
      <c r="W58" s="151">
        <v>-14133</v>
      </c>
      <c r="X58" s="707">
        <f>J58-W58</f>
        <v>18719.8</v>
      </c>
      <c r="Y58" s="151">
        <f t="shared" si="2"/>
        <v>4586.7999999999993</v>
      </c>
    </row>
    <row r="59" spans="1:30" s="44" customFormat="1" ht="20.25" x14ac:dyDescent="0.2">
      <c r="A59" s="43"/>
      <c r="B59" s="43"/>
      <c r="C59" s="47" t="s">
        <v>428</v>
      </c>
      <c r="E59" s="43"/>
      <c r="G59" s="151"/>
      <c r="H59" s="151"/>
      <c r="I59" s="151"/>
      <c r="J59" s="151">
        <f>J44</f>
        <v>6922</v>
      </c>
      <c r="K59" s="151">
        <f>K44</f>
        <v>41316</v>
      </c>
      <c r="L59" s="151"/>
      <c r="M59" s="151">
        <f>M44</f>
        <v>22747.5</v>
      </c>
      <c r="O59" s="151">
        <f>O44</f>
        <v>4550</v>
      </c>
      <c r="Q59" s="337">
        <f>J59-O59</f>
        <v>2372</v>
      </c>
      <c r="R59" s="694">
        <f>(J59-O59)/O59</f>
        <v>0.52131868131868131</v>
      </c>
      <c r="U59" s="151">
        <f>U44</f>
        <v>42000</v>
      </c>
      <c r="V59" s="47" t="str">
        <f t="shared" si="1"/>
        <v xml:space="preserve">Add Back Deprecation </v>
      </c>
      <c r="W59" s="151">
        <f>W44</f>
        <v>20658</v>
      </c>
      <c r="X59" s="707">
        <f>J59-W59</f>
        <v>-13736</v>
      </c>
      <c r="Y59" s="151">
        <f t="shared" si="2"/>
        <v>6922</v>
      </c>
    </row>
    <row r="60" spans="1:30" s="44" customFormat="1" ht="24" thickBot="1" x14ac:dyDescent="0.25">
      <c r="A60" s="43"/>
      <c r="B60" s="179"/>
      <c r="C60" s="43"/>
      <c r="D60" s="795" t="s">
        <v>225</v>
      </c>
      <c r="E60" s="795"/>
      <c r="F60" s="795"/>
      <c r="G60" s="151"/>
      <c r="H60" s="151"/>
      <c r="I60" s="151"/>
      <c r="J60" s="317">
        <f>J56+J58+J59</f>
        <v>18848.156666666688</v>
      </c>
      <c r="K60" s="317">
        <f>K56+K58+K59</f>
        <v>63609.29999999993</v>
      </c>
      <c r="L60" s="160"/>
      <c r="M60" s="317">
        <f>M56+M58+M59</f>
        <v>-76580.103033333318</v>
      </c>
      <c r="N60" s="262"/>
      <c r="O60" s="317">
        <f>O56+O58+O59</f>
        <v>5940</v>
      </c>
      <c r="P60" s="262"/>
      <c r="Q60" s="317">
        <f>J60-O60</f>
        <v>12908.156666666688</v>
      </c>
      <c r="R60" s="694">
        <f>(J60-O60)/O60</f>
        <v>2.1730903479236847</v>
      </c>
      <c r="U60" s="317">
        <f>U56+U58+U59</f>
        <v>-92297.880641025491</v>
      </c>
      <c r="V60" s="703" t="s">
        <v>225</v>
      </c>
      <c r="W60" s="317">
        <f>W56+W58+W59</f>
        <v>14317.650000000023</v>
      </c>
      <c r="X60" s="713">
        <f>X56+X58+X59</f>
        <v>4530.5066666666644</v>
      </c>
      <c r="Y60" s="317">
        <f t="shared" si="2"/>
        <v>18848.156666666688</v>
      </c>
      <c r="AB60" s="44">
        <v>5422</v>
      </c>
      <c r="AC60" s="262">
        <f>W60-AB60</f>
        <v>8895.6500000000233</v>
      </c>
    </row>
    <row r="61" spans="1:30" s="44" customFormat="1" ht="42" customHeight="1" thickTop="1" x14ac:dyDescent="0.2">
      <c r="A61" s="43"/>
      <c r="B61" s="43"/>
      <c r="C61" s="43"/>
      <c r="D61" s="43"/>
      <c r="E61" s="43"/>
      <c r="F61" s="43"/>
      <c r="G61" s="151"/>
      <c r="H61" s="151"/>
      <c r="I61" s="151"/>
      <c r="J61" s="151"/>
      <c r="K61" s="151"/>
      <c r="L61" s="151"/>
      <c r="M61" s="151"/>
      <c r="O61" s="151"/>
      <c r="R61" s="39"/>
      <c r="U61" s="151"/>
      <c r="W61" s="151"/>
      <c r="X61" s="707"/>
    </row>
    <row r="62" spans="1:30" s="44" customFormat="1" ht="20.25" x14ac:dyDescent="0.2">
      <c r="A62" s="47"/>
      <c r="B62" s="47"/>
      <c r="C62" s="47"/>
      <c r="D62" s="47"/>
      <c r="F62" s="47" t="s">
        <v>297</v>
      </c>
      <c r="G62" s="160"/>
      <c r="H62" s="151"/>
      <c r="I62" s="151"/>
      <c r="J62" s="151">
        <f>20713+18437</f>
        <v>39150</v>
      </c>
      <c r="K62" s="151">
        <v>247516</v>
      </c>
      <c r="L62" s="151"/>
      <c r="M62" s="151">
        <v>211115</v>
      </c>
      <c r="O62" s="151">
        <v>33818</v>
      </c>
      <c r="Q62" s="162"/>
      <c r="R62" s="39"/>
      <c r="U62" s="151">
        <v>247516</v>
      </c>
      <c r="V62" s="47" t="s">
        <v>297</v>
      </c>
      <c r="W62" s="151">
        <v>118318</v>
      </c>
      <c r="X62" s="707">
        <v>129198</v>
      </c>
      <c r="Y62" s="151">
        <f>J62</f>
        <v>39150</v>
      </c>
    </row>
    <row r="63" spans="1:30" s="44" customFormat="1" ht="21" thickBot="1" x14ac:dyDescent="0.25">
      <c r="A63" s="47"/>
      <c r="B63" s="47"/>
      <c r="C63" s="47"/>
      <c r="D63" s="47"/>
      <c r="F63" s="47" t="s">
        <v>302</v>
      </c>
      <c r="G63" s="151"/>
      <c r="H63" s="151"/>
      <c r="I63" s="151"/>
      <c r="J63" s="411">
        <f>(J55-J44-J48)/J62</f>
        <v>1.8409777777777769</v>
      </c>
      <c r="K63" s="411">
        <f>(K55-K44-K48)/K62</f>
        <v>2.096032983726305</v>
      </c>
      <c r="L63" s="412"/>
      <c r="M63" s="411">
        <f>(M55-M44-M48)/M62</f>
        <v>1.8415001288397321</v>
      </c>
      <c r="O63" s="411">
        <f>(O55-O44-O48)/O62</f>
        <v>2.3260689573599858</v>
      </c>
      <c r="R63" s="39"/>
      <c r="U63" s="411">
        <f>(U55-U44-U48)/U62</f>
        <v>1.9953422607023381</v>
      </c>
      <c r="V63" s="47" t="s">
        <v>302</v>
      </c>
      <c r="W63" s="411">
        <f>(W55-W44-W48)/W62</f>
        <v>2.186422437837015</v>
      </c>
      <c r="X63" s="714">
        <f>(X55-X44-X48)/X62</f>
        <v>-1.444440703416461</v>
      </c>
      <c r="Y63" s="411">
        <f>(Y55-Y44-Y48)/Y62</f>
        <v>14.336066411238825</v>
      </c>
    </row>
    <row r="64" spans="1:30" s="44" customFormat="1" ht="20.25" x14ac:dyDescent="0.2">
      <c r="A64" s="47"/>
      <c r="B64" s="47"/>
      <c r="C64" s="47"/>
      <c r="D64" s="47"/>
      <c r="F64" s="47"/>
      <c r="G64" s="151"/>
      <c r="H64" s="151"/>
      <c r="I64" s="151"/>
      <c r="J64" s="151"/>
      <c r="K64" s="151"/>
      <c r="L64" s="151"/>
      <c r="M64" s="151"/>
      <c r="O64" s="151"/>
      <c r="R64" s="39"/>
      <c r="U64" s="151"/>
      <c r="V64" s="47"/>
      <c r="W64" s="151"/>
      <c r="X64" s="707"/>
      <c r="Y64" s="151"/>
    </row>
    <row r="65" spans="1:25" s="44" customFormat="1" ht="20.25" x14ac:dyDescent="0.2">
      <c r="A65" s="47"/>
      <c r="B65" s="47"/>
      <c r="C65" s="47"/>
      <c r="D65" s="47"/>
      <c r="F65" s="47" t="s">
        <v>298</v>
      </c>
      <c r="G65" s="151"/>
      <c r="H65" s="151"/>
      <c r="I65" s="151"/>
      <c r="J65" s="151">
        <v>1721</v>
      </c>
      <c r="K65" s="151">
        <v>13394</v>
      </c>
      <c r="L65" s="151"/>
      <c r="M65" s="151">
        <v>10946</v>
      </c>
      <c r="O65" s="151">
        <v>1872</v>
      </c>
      <c r="R65" s="695"/>
      <c r="U65" s="151">
        <v>13394</v>
      </c>
      <c r="V65" s="47" t="s">
        <v>298</v>
      </c>
      <c r="W65" s="151">
        <v>6587</v>
      </c>
      <c r="X65" s="707">
        <f>J65-W65</f>
        <v>-4866</v>
      </c>
      <c r="Y65" s="151">
        <f>J65</f>
        <v>1721</v>
      </c>
    </row>
    <row r="66" spans="1:25" s="44" customFormat="1" ht="21" thickBot="1" x14ac:dyDescent="0.25">
      <c r="A66" s="47"/>
      <c r="B66" s="47"/>
      <c r="C66" s="47"/>
      <c r="D66" s="47"/>
      <c r="F66" s="47" t="s">
        <v>355</v>
      </c>
      <c r="G66" s="151"/>
      <c r="H66" s="151"/>
      <c r="I66" s="151"/>
      <c r="J66" s="411">
        <f>(J55-J44-J48)/J65</f>
        <v>41.879302730970352</v>
      </c>
      <c r="K66" s="411">
        <f>(K55-K44-K48)/K65</f>
        <v>38.733888308197706</v>
      </c>
      <c r="L66" s="151"/>
      <c r="M66" s="411">
        <f>(M55-M44-M48)/M65</f>
        <v>35.516928530970219</v>
      </c>
      <c r="O66" s="411">
        <f>(O55-O44-O48)/O65</f>
        <v>42.020833333333336</v>
      </c>
      <c r="R66" s="39"/>
      <c r="U66" s="411">
        <f>(U55-U44-U48)/U65</f>
        <v>36.873162236822452</v>
      </c>
      <c r="V66" s="47" t="s">
        <v>355</v>
      </c>
      <c r="W66" s="411">
        <f>(W55-W44-W48)/W65</f>
        <v>39.273285258843167</v>
      </c>
      <c r="X66" s="714">
        <f>(X55-X44-X48)/X65</f>
        <v>38.35159268392929</v>
      </c>
      <c r="Y66" s="411">
        <f>(Y55-Y44-Y48)/Y65</f>
        <v>326.12260313771066</v>
      </c>
    </row>
    <row r="67" spans="1:25" s="44" customFormat="1" ht="20.25" x14ac:dyDescent="0.2">
      <c r="A67" s="47"/>
      <c r="B67" s="47"/>
      <c r="C67" s="47"/>
      <c r="D67" s="47"/>
      <c r="F67" s="47"/>
      <c r="G67" s="151"/>
      <c r="H67" s="151"/>
      <c r="I67" s="151"/>
      <c r="J67" s="151"/>
      <c r="K67" s="151"/>
      <c r="L67" s="151"/>
      <c r="M67" s="151"/>
      <c r="O67" s="151"/>
      <c r="R67" s="39"/>
      <c r="U67" s="151"/>
      <c r="V67" s="47"/>
      <c r="W67" s="151"/>
      <c r="X67" s="707"/>
      <c r="Y67" s="151"/>
    </row>
    <row r="68" spans="1:25" s="44" customFormat="1" ht="20.25" x14ac:dyDescent="0.2">
      <c r="A68" s="47"/>
      <c r="B68" s="47"/>
      <c r="C68" s="43"/>
      <c r="D68" s="47"/>
      <c r="F68" s="47" t="s">
        <v>299</v>
      </c>
      <c r="G68" s="151"/>
      <c r="H68" s="151"/>
      <c r="I68" s="151"/>
      <c r="J68" s="151">
        <f>456*2</f>
        <v>912</v>
      </c>
      <c r="K68" s="151">
        <v>6070</v>
      </c>
      <c r="L68" s="151"/>
      <c r="M68" s="151">
        <v>3452</v>
      </c>
      <c r="O68" s="151">
        <v>711</v>
      </c>
      <c r="R68" s="39"/>
      <c r="U68" s="151">
        <v>6070</v>
      </c>
      <c r="V68" s="47" t="s">
        <v>299</v>
      </c>
      <c r="W68" s="151">
        <v>2742</v>
      </c>
      <c r="X68" s="707">
        <f>J68-W68</f>
        <v>-1830</v>
      </c>
      <c r="Y68" s="151">
        <f>J68</f>
        <v>912</v>
      </c>
    </row>
    <row r="69" spans="1:25" s="44" customFormat="1" ht="21" thickBot="1" x14ac:dyDescent="0.25">
      <c r="A69" s="47"/>
      <c r="B69" s="47"/>
      <c r="C69" s="47"/>
      <c r="D69" s="47"/>
      <c r="E69" s="47"/>
      <c r="F69" s="47" t="s">
        <v>356</v>
      </c>
      <c r="G69" s="151"/>
      <c r="H69" s="151"/>
      <c r="I69" s="151"/>
      <c r="J69" s="411">
        <f>J9/J68</f>
        <v>35.635964912280699</v>
      </c>
      <c r="K69" s="411">
        <f>K9/K68</f>
        <v>30.938879736408566</v>
      </c>
      <c r="L69" s="151"/>
      <c r="M69" s="411">
        <f>M9/M68</f>
        <v>31.232039397450752</v>
      </c>
      <c r="O69" s="411">
        <f>O9/O68</f>
        <v>30.796061884669481</v>
      </c>
      <c r="R69" s="39"/>
      <c r="U69" s="411">
        <f>U9/U68</f>
        <v>18.14654036243822</v>
      </c>
      <c r="V69" s="47" t="s">
        <v>356</v>
      </c>
      <c r="W69" s="411">
        <f>W9/W68</f>
        <v>30.422844638949673</v>
      </c>
      <c r="X69" s="714">
        <f>X9/X68</f>
        <v>27.824830601092899</v>
      </c>
      <c r="Y69" s="411">
        <f>Y9/Y68</f>
        <v>35.635964912280699</v>
      </c>
    </row>
    <row r="70" spans="1:25" s="44" customFormat="1" ht="20.25" x14ac:dyDescent="0.2">
      <c r="A70" s="47"/>
      <c r="B70" s="47"/>
      <c r="C70" s="43"/>
      <c r="D70" s="43"/>
      <c r="G70" s="151"/>
      <c r="H70" s="151"/>
      <c r="I70" s="151"/>
      <c r="J70" s="151"/>
      <c r="K70" s="151"/>
      <c r="L70" s="151"/>
      <c r="M70" s="151"/>
      <c r="R70" s="39"/>
      <c r="U70" s="151"/>
      <c r="W70" s="151"/>
      <c r="X70" s="707"/>
    </row>
    <row r="71" spans="1:25" s="44" customFormat="1" ht="20.25" x14ac:dyDescent="0.2">
      <c r="A71" s="47"/>
      <c r="B71" s="47"/>
      <c r="C71" s="47"/>
      <c r="D71" s="47"/>
      <c r="E71" s="47"/>
      <c r="F71" s="47" t="s">
        <v>668</v>
      </c>
      <c r="G71" s="151"/>
      <c r="H71" s="151"/>
      <c r="I71" s="151"/>
      <c r="J71" s="700">
        <f>J62/J65</f>
        <v>22.74840209180709</v>
      </c>
      <c r="K71" s="700">
        <f>K62/K65</f>
        <v>18.479617739286248</v>
      </c>
      <c r="L71" s="151"/>
      <c r="M71" s="151"/>
      <c r="O71" s="700">
        <f>O62/O65</f>
        <v>18.06517094017094</v>
      </c>
      <c r="R71" s="39"/>
      <c r="U71" s="700">
        <f>U62/U65</f>
        <v>18.479617739286248</v>
      </c>
      <c r="V71" s="47" t="s">
        <v>668</v>
      </c>
      <c r="W71" s="700">
        <f>W62/W65</f>
        <v>17.9623500834978</v>
      </c>
      <c r="X71" s="715">
        <f>X62/X65</f>
        <v>-26.551171393341555</v>
      </c>
      <c r="Y71" s="700">
        <f>Y62/Y65</f>
        <v>22.74840209180709</v>
      </c>
    </row>
  </sheetData>
  <mergeCells count="11">
    <mergeCell ref="W6:Y6"/>
    <mergeCell ref="C24:F24"/>
    <mergeCell ref="D34:F34"/>
    <mergeCell ref="Q8:R8"/>
    <mergeCell ref="D35:F35"/>
    <mergeCell ref="D36:F36"/>
    <mergeCell ref="D38:F38"/>
    <mergeCell ref="D60:F60"/>
    <mergeCell ref="D39:F39"/>
    <mergeCell ref="D40:F40"/>
    <mergeCell ref="D41:F41"/>
  </mergeCells>
  <pageMargins left="1.2" right="0.2" top="0.25" bottom="0.5" header="0.3" footer="0.3"/>
  <pageSetup scale="46" orientation="portrait" r:id="rId1"/>
  <headerFooter>
    <oddFooter>&amp;R&amp;9&amp;Z
&amp;F</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B8E67-9435-4495-AC80-4105D04FAB27}">
  <sheetPr>
    <pageSetUpPr fitToPage="1"/>
  </sheetPr>
  <dimension ref="A1:AB57"/>
  <sheetViews>
    <sheetView zoomScale="70" zoomScaleNormal="70" workbookViewId="0">
      <selection activeCell="G57" sqref="G57"/>
    </sheetView>
  </sheetViews>
  <sheetFormatPr defaultRowHeight="18" x14ac:dyDescent="0.25"/>
  <cols>
    <col min="1" max="1" width="2.875" style="34" customWidth="1"/>
    <col min="2" max="2" width="8.125" style="34" customWidth="1"/>
    <col min="3" max="3" width="8.75" style="34" customWidth="1"/>
    <col min="4" max="4" width="5.75" style="34" customWidth="1"/>
    <col min="5" max="5" width="2.875" style="34" customWidth="1"/>
    <col min="6" max="6" width="44.625" style="34" customWidth="1"/>
    <col min="7" max="8" width="24.875" style="148" customWidth="1"/>
    <col min="9" max="9" width="24.875" customWidth="1"/>
    <col min="10" max="10" width="1.625" customWidth="1"/>
    <col min="11" max="11" width="25.125" hidden="1" customWidth="1"/>
    <col min="12" max="12" width="23.25" style="254" hidden="1" customWidth="1"/>
    <col min="13" max="13" width="17.25" hidden="1" customWidth="1"/>
    <col min="14" max="14" width="17.25" customWidth="1"/>
    <col min="15" max="15" width="10.75" bestFit="1" customWidth="1"/>
    <col min="16" max="16" width="84.375" style="8" hidden="1" customWidth="1"/>
    <col min="17" max="17" width="12.625" style="19" bestFit="1" customWidth="1"/>
    <col min="18" max="18" width="31.875" style="18" customWidth="1"/>
    <col min="19" max="19" width="17.375" style="8" customWidth="1"/>
    <col min="20" max="20" width="15" style="8" bestFit="1" customWidth="1"/>
    <col min="21" max="21" width="9.5" style="8" bestFit="1" customWidth="1"/>
    <col min="22" max="28" width="9" style="8"/>
    <col min="243" max="243" width="2.875" customWidth="1"/>
    <col min="244" max="244" width="8.125" customWidth="1"/>
    <col min="245" max="245" width="8.75" customWidth="1"/>
    <col min="246" max="246" width="11" customWidth="1"/>
    <col min="247" max="247" width="2.875" customWidth="1"/>
    <col min="248" max="248" width="77.625" customWidth="1"/>
    <col min="249" max="249" width="20.875" customWidth="1"/>
    <col min="499" max="499" width="2.875" customWidth="1"/>
    <col min="500" max="500" width="8.125" customWidth="1"/>
    <col min="501" max="501" width="8.75" customWidth="1"/>
    <col min="502" max="502" width="11" customWidth="1"/>
    <col min="503" max="503" width="2.875" customWidth="1"/>
    <col min="504" max="504" width="77.625" customWidth="1"/>
    <col min="505" max="505" width="20.875" customWidth="1"/>
    <col min="755" max="755" width="2.875" customWidth="1"/>
    <col min="756" max="756" width="8.125" customWidth="1"/>
    <col min="757" max="757" width="8.75" customWidth="1"/>
    <col min="758" max="758" width="11" customWidth="1"/>
    <col min="759" max="759" width="2.875" customWidth="1"/>
    <col min="760" max="760" width="77.625" customWidth="1"/>
    <col min="761" max="761" width="20.875" customWidth="1"/>
    <col min="1011" max="1011" width="2.875" customWidth="1"/>
    <col min="1012" max="1012" width="8.125" customWidth="1"/>
    <col min="1013" max="1013" width="8.75" customWidth="1"/>
    <col min="1014" max="1014" width="11" customWidth="1"/>
    <col min="1015" max="1015" width="2.875" customWidth="1"/>
    <col min="1016" max="1016" width="77.625" customWidth="1"/>
    <col min="1017" max="1017" width="20.875" customWidth="1"/>
    <col min="1267" max="1267" width="2.875" customWidth="1"/>
    <col min="1268" max="1268" width="8.125" customWidth="1"/>
    <col min="1269" max="1269" width="8.75" customWidth="1"/>
    <col min="1270" max="1270" width="11" customWidth="1"/>
    <col min="1271" max="1271" width="2.875" customWidth="1"/>
    <col min="1272" max="1272" width="77.625" customWidth="1"/>
    <col min="1273" max="1273" width="20.875" customWidth="1"/>
    <col min="1523" max="1523" width="2.875" customWidth="1"/>
    <col min="1524" max="1524" width="8.125" customWidth="1"/>
    <col min="1525" max="1525" width="8.75" customWidth="1"/>
    <col min="1526" max="1526" width="11" customWidth="1"/>
    <col min="1527" max="1527" width="2.875" customWidth="1"/>
    <col min="1528" max="1528" width="77.625" customWidth="1"/>
    <col min="1529" max="1529" width="20.875" customWidth="1"/>
    <col min="1779" max="1779" width="2.875" customWidth="1"/>
    <col min="1780" max="1780" width="8.125" customWidth="1"/>
    <col min="1781" max="1781" width="8.75" customWidth="1"/>
    <col min="1782" max="1782" width="11" customWidth="1"/>
    <col min="1783" max="1783" width="2.875" customWidth="1"/>
    <col min="1784" max="1784" width="77.625" customWidth="1"/>
    <col min="1785" max="1785" width="20.875" customWidth="1"/>
    <col min="2035" max="2035" width="2.875" customWidth="1"/>
    <col min="2036" max="2036" width="8.125" customWidth="1"/>
    <col min="2037" max="2037" width="8.75" customWidth="1"/>
    <col min="2038" max="2038" width="11" customWidth="1"/>
    <col min="2039" max="2039" width="2.875" customWidth="1"/>
    <col min="2040" max="2040" width="77.625" customWidth="1"/>
    <col min="2041" max="2041" width="20.875" customWidth="1"/>
    <col min="2291" max="2291" width="2.875" customWidth="1"/>
    <col min="2292" max="2292" width="8.125" customWidth="1"/>
    <col min="2293" max="2293" width="8.75" customWidth="1"/>
    <col min="2294" max="2294" width="11" customWidth="1"/>
    <col min="2295" max="2295" width="2.875" customWidth="1"/>
    <col min="2296" max="2296" width="77.625" customWidth="1"/>
    <col min="2297" max="2297" width="20.875" customWidth="1"/>
    <col min="2547" max="2547" width="2.875" customWidth="1"/>
    <col min="2548" max="2548" width="8.125" customWidth="1"/>
    <col min="2549" max="2549" width="8.75" customWidth="1"/>
    <col min="2550" max="2550" width="11" customWidth="1"/>
    <col min="2551" max="2551" width="2.875" customWidth="1"/>
    <col min="2552" max="2552" width="77.625" customWidth="1"/>
    <col min="2553" max="2553" width="20.875" customWidth="1"/>
    <col min="2803" max="2803" width="2.875" customWidth="1"/>
    <col min="2804" max="2804" width="8.125" customWidth="1"/>
    <col min="2805" max="2805" width="8.75" customWidth="1"/>
    <col min="2806" max="2806" width="11" customWidth="1"/>
    <col min="2807" max="2807" width="2.875" customWidth="1"/>
    <col min="2808" max="2808" width="77.625" customWidth="1"/>
    <col min="2809" max="2809" width="20.875" customWidth="1"/>
    <col min="3059" max="3059" width="2.875" customWidth="1"/>
    <col min="3060" max="3060" width="8.125" customWidth="1"/>
    <col min="3061" max="3061" width="8.75" customWidth="1"/>
    <col min="3062" max="3062" width="11" customWidth="1"/>
    <col min="3063" max="3063" width="2.875" customWidth="1"/>
    <col min="3064" max="3064" width="77.625" customWidth="1"/>
    <col min="3065" max="3065" width="20.875" customWidth="1"/>
    <col min="3315" max="3315" width="2.875" customWidth="1"/>
    <col min="3316" max="3316" width="8.125" customWidth="1"/>
    <col min="3317" max="3317" width="8.75" customWidth="1"/>
    <col min="3318" max="3318" width="11" customWidth="1"/>
    <col min="3319" max="3319" width="2.875" customWidth="1"/>
    <col min="3320" max="3320" width="77.625" customWidth="1"/>
    <col min="3321" max="3321" width="20.875" customWidth="1"/>
    <col min="3571" max="3571" width="2.875" customWidth="1"/>
    <col min="3572" max="3572" width="8.125" customWidth="1"/>
    <col min="3573" max="3573" width="8.75" customWidth="1"/>
    <col min="3574" max="3574" width="11" customWidth="1"/>
    <col min="3575" max="3575" width="2.875" customWidth="1"/>
    <col min="3576" max="3576" width="77.625" customWidth="1"/>
    <col min="3577" max="3577" width="20.875" customWidth="1"/>
    <col min="3827" max="3827" width="2.875" customWidth="1"/>
    <col min="3828" max="3828" width="8.125" customWidth="1"/>
    <col min="3829" max="3829" width="8.75" customWidth="1"/>
    <col min="3830" max="3830" width="11" customWidth="1"/>
    <col min="3831" max="3831" width="2.875" customWidth="1"/>
    <col min="3832" max="3832" width="77.625" customWidth="1"/>
    <col min="3833" max="3833" width="20.875" customWidth="1"/>
    <col min="4083" max="4083" width="2.875" customWidth="1"/>
    <col min="4084" max="4084" width="8.125" customWidth="1"/>
    <col min="4085" max="4085" width="8.75" customWidth="1"/>
    <col min="4086" max="4086" width="11" customWidth="1"/>
    <col min="4087" max="4087" width="2.875" customWidth="1"/>
    <col min="4088" max="4088" width="77.625" customWidth="1"/>
    <col min="4089" max="4089" width="20.875" customWidth="1"/>
    <col min="4339" max="4339" width="2.875" customWidth="1"/>
    <col min="4340" max="4340" width="8.125" customWidth="1"/>
    <col min="4341" max="4341" width="8.75" customWidth="1"/>
    <col min="4342" max="4342" width="11" customWidth="1"/>
    <col min="4343" max="4343" width="2.875" customWidth="1"/>
    <col min="4344" max="4344" width="77.625" customWidth="1"/>
    <col min="4345" max="4345" width="20.875" customWidth="1"/>
    <col min="4595" max="4595" width="2.875" customWidth="1"/>
    <col min="4596" max="4596" width="8.125" customWidth="1"/>
    <col min="4597" max="4597" width="8.75" customWidth="1"/>
    <col min="4598" max="4598" width="11" customWidth="1"/>
    <col min="4599" max="4599" width="2.875" customWidth="1"/>
    <col min="4600" max="4600" width="77.625" customWidth="1"/>
    <col min="4601" max="4601" width="20.875" customWidth="1"/>
    <col min="4851" max="4851" width="2.875" customWidth="1"/>
    <col min="4852" max="4852" width="8.125" customWidth="1"/>
    <col min="4853" max="4853" width="8.75" customWidth="1"/>
    <col min="4854" max="4854" width="11" customWidth="1"/>
    <col min="4855" max="4855" width="2.875" customWidth="1"/>
    <col min="4856" max="4856" width="77.625" customWidth="1"/>
    <col min="4857" max="4857" width="20.875" customWidth="1"/>
    <col min="5107" max="5107" width="2.875" customWidth="1"/>
    <col min="5108" max="5108" width="8.125" customWidth="1"/>
    <col min="5109" max="5109" width="8.75" customWidth="1"/>
    <col min="5110" max="5110" width="11" customWidth="1"/>
    <col min="5111" max="5111" width="2.875" customWidth="1"/>
    <col min="5112" max="5112" width="77.625" customWidth="1"/>
    <col min="5113" max="5113" width="20.875" customWidth="1"/>
    <col min="5363" max="5363" width="2.875" customWidth="1"/>
    <col min="5364" max="5364" width="8.125" customWidth="1"/>
    <col min="5365" max="5365" width="8.75" customWidth="1"/>
    <col min="5366" max="5366" width="11" customWidth="1"/>
    <col min="5367" max="5367" width="2.875" customWidth="1"/>
    <col min="5368" max="5368" width="77.625" customWidth="1"/>
    <col min="5369" max="5369" width="20.875" customWidth="1"/>
    <col min="5619" max="5619" width="2.875" customWidth="1"/>
    <col min="5620" max="5620" width="8.125" customWidth="1"/>
    <col min="5621" max="5621" width="8.75" customWidth="1"/>
    <col min="5622" max="5622" width="11" customWidth="1"/>
    <col min="5623" max="5623" width="2.875" customWidth="1"/>
    <col min="5624" max="5624" width="77.625" customWidth="1"/>
    <col min="5625" max="5625" width="20.875" customWidth="1"/>
    <col min="5875" max="5875" width="2.875" customWidth="1"/>
    <col min="5876" max="5876" width="8.125" customWidth="1"/>
    <col min="5877" max="5877" width="8.75" customWidth="1"/>
    <col min="5878" max="5878" width="11" customWidth="1"/>
    <col min="5879" max="5879" width="2.875" customWidth="1"/>
    <col min="5880" max="5880" width="77.625" customWidth="1"/>
    <col min="5881" max="5881" width="20.875" customWidth="1"/>
    <col min="6131" max="6131" width="2.875" customWidth="1"/>
    <col min="6132" max="6132" width="8.125" customWidth="1"/>
    <col min="6133" max="6133" width="8.75" customWidth="1"/>
    <col min="6134" max="6134" width="11" customWidth="1"/>
    <col min="6135" max="6135" width="2.875" customWidth="1"/>
    <col min="6136" max="6136" width="77.625" customWidth="1"/>
    <col min="6137" max="6137" width="20.875" customWidth="1"/>
    <col min="6387" max="6387" width="2.875" customWidth="1"/>
    <col min="6388" max="6388" width="8.125" customWidth="1"/>
    <col min="6389" max="6389" width="8.75" customWidth="1"/>
    <col min="6390" max="6390" width="11" customWidth="1"/>
    <col min="6391" max="6391" width="2.875" customWidth="1"/>
    <col min="6392" max="6392" width="77.625" customWidth="1"/>
    <col min="6393" max="6393" width="20.875" customWidth="1"/>
    <col min="6643" max="6643" width="2.875" customWidth="1"/>
    <col min="6644" max="6644" width="8.125" customWidth="1"/>
    <col min="6645" max="6645" width="8.75" customWidth="1"/>
    <col min="6646" max="6646" width="11" customWidth="1"/>
    <col min="6647" max="6647" width="2.875" customWidth="1"/>
    <col min="6648" max="6648" width="77.625" customWidth="1"/>
    <col min="6649" max="6649" width="20.875" customWidth="1"/>
    <col min="6899" max="6899" width="2.875" customWidth="1"/>
    <col min="6900" max="6900" width="8.125" customWidth="1"/>
    <col min="6901" max="6901" width="8.75" customWidth="1"/>
    <col min="6902" max="6902" width="11" customWidth="1"/>
    <col min="6903" max="6903" width="2.875" customWidth="1"/>
    <col min="6904" max="6904" width="77.625" customWidth="1"/>
    <col min="6905" max="6905" width="20.875" customWidth="1"/>
    <col min="7155" max="7155" width="2.875" customWidth="1"/>
    <col min="7156" max="7156" width="8.125" customWidth="1"/>
    <col min="7157" max="7157" width="8.75" customWidth="1"/>
    <col min="7158" max="7158" width="11" customWidth="1"/>
    <col min="7159" max="7159" width="2.875" customWidth="1"/>
    <col min="7160" max="7160" width="77.625" customWidth="1"/>
    <col min="7161" max="7161" width="20.875" customWidth="1"/>
    <col min="7411" max="7411" width="2.875" customWidth="1"/>
    <col min="7412" max="7412" width="8.125" customWidth="1"/>
    <col min="7413" max="7413" width="8.75" customWidth="1"/>
    <col min="7414" max="7414" width="11" customWidth="1"/>
    <col min="7415" max="7415" width="2.875" customWidth="1"/>
    <col min="7416" max="7416" width="77.625" customWidth="1"/>
    <col min="7417" max="7417" width="20.875" customWidth="1"/>
    <col min="7667" max="7667" width="2.875" customWidth="1"/>
    <col min="7668" max="7668" width="8.125" customWidth="1"/>
    <col min="7669" max="7669" width="8.75" customWidth="1"/>
    <col min="7670" max="7670" width="11" customWidth="1"/>
    <col min="7671" max="7671" width="2.875" customWidth="1"/>
    <col min="7672" max="7672" width="77.625" customWidth="1"/>
    <col min="7673" max="7673" width="20.875" customWidth="1"/>
    <col min="7923" max="7923" width="2.875" customWidth="1"/>
    <col min="7924" max="7924" width="8.125" customWidth="1"/>
    <col min="7925" max="7925" width="8.75" customWidth="1"/>
    <col min="7926" max="7926" width="11" customWidth="1"/>
    <col min="7927" max="7927" width="2.875" customWidth="1"/>
    <col min="7928" max="7928" width="77.625" customWidth="1"/>
    <col min="7929" max="7929" width="20.875" customWidth="1"/>
    <col min="8179" max="8179" width="2.875" customWidth="1"/>
    <col min="8180" max="8180" width="8.125" customWidth="1"/>
    <col min="8181" max="8181" width="8.75" customWidth="1"/>
    <col min="8182" max="8182" width="11" customWidth="1"/>
    <col min="8183" max="8183" width="2.875" customWidth="1"/>
    <col min="8184" max="8184" width="77.625" customWidth="1"/>
    <col min="8185" max="8185" width="20.875" customWidth="1"/>
    <col min="8435" max="8435" width="2.875" customWidth="1"/>
    <col min="8436" max="8436" width="8.125" customWidth="1"/>
    <col min="8437" max="8437" width="8.75" customWidth="1"/>
    <col min="8438" max="8438" width="11" customWidth="1"/>
    <col min="8439" max="8439" width="2.875" customWidth="1"/>
    <col min="8440" max="8440" width="77.625" customWidth="1"/>
    <col min="8441" max="8441" width="20.875" customWidth="1"/>
    <col min="8691" max="8691" width="2.875" customWidth="1"/>
    <col min="8692" max="8692" width="8.125" customWidth="1"/>
    <col min="8693" max="8693" width="8.75" customWidth="1"/>
    <col min="8694" max="8694" width="11" customWidth="1"/>
    <col min="8695" max="8695" width="2.875" customWidth="1"/>
    <col min="8696" max="8696" width="77.625" customWidth="1"/>
    <col min="8697" max="8697" width="20.875" customWidth="1"/>
    <col min="8947" max="8947" width="2.875" customWidth="1"/>
    <col min="8948" max="8948" width="8.125" customWidth="1"/>
    <col min="8949" max="8949" width="8.75" customWidth="1"/>
    <col min="8950" max="8950" width="11" customWidth="1"/>
    <col min="8951" max="8951" width="2.875" customWidth="1"/>
    <col min="8952" max="8952" width="77.625" customWidth="1"/>
    <col min="8953" max="8953" width="20.875" customWidth="1"/>
    <col min="9203" max="9203" width="2.875" customWidth="1"/>
    <col min="9204" max="9204" width="8.125" customWidth="1"/>
    <col min="9205" max="9205" width="8.75" customWidth="1"/>
    <col min="9206" max="9206" width="11" customWidth="1"/>
    <col min="9207" max="9207" width="2.875" customWidth="1"/>
    <col min="9208" max="9208" width="77.625" customWidth="1"/>
    <col min="9209" max="9209" width="20.875" customWidth="1"/>
    <col min="9459" max="9459" width="2.875" customWidth="1"/>
    <col min="9460" max="9460" width="8.125" customWidth="1"/>
    <col min="9461" max="9461" width="8.75" customWidth="1"/>
    <col min="9462" max="9462" width="11" customWidth="1"/>
    <col min="9463" max="9463" width="2.875" customWidth="1"/>
    <col min="9464" max="9464" width="77.625" customWidth="1"/>
    <col min="9465" max="9465" width="20.875" customWidth="1"/>
    <col min="9715" max="9715" width="2.875" customWidth="1"/>
    <col min="9716" max="9716" width="8.125" customWidth="1"/>
    <col min="9717" max="9717" width="8.75" customWidth="1"/>
    <col min="9718" max="9718" width="11" customWidth="1"/>
    <col min="9719" max="9719" width="2.875" customWidth="1"/>
    <col min="9720" max="9720" width="77.625" customWidth="1"/>
    <col min="9721" max="9721" width="20.875" customWidth="1"/>
    <col min="9971" max="9971" width="2.875" customWidth="1"/>
    <col min="9972" max="9972" width="8.125" customWidth="1"/>
    <col min="9973" max="9973" width="8.75" customWidth="1"/>
    <col min="9974" max="9974" width="11" customWidth="1"/>
    <col min="9975" max="9975" width="2.875" customWidth="1"/>
    <col min="9976" max="9976" width="77.625" customWidth="1"/>
    <col min="9977" max="9977" width="20.875" customWidth="1"/>
    <col min="10227" max="10227" width="2.875" customWidth="1"/>
    <col min="10228" max="10228" width="8.125" customWidth="1"/>
    <col min="10229" max="10229" width="8.75" customWidth="1"/>
    <col min="10230" max="10230" width="11" customWidth="1"/>
    <col min="10231" max="10231" width="2.875" customWidth="1"/>
    <col min="10232" max="10232" width="77.625" customWidth="1"/>
    <col min="10233" max="10233" width="20.875" customWidth="1"/>
    <col min="10483" max="10483" width="2.875" customWidth="1"/>
    <col min="10484" max="10484" width="8.125" customWidth="1"/>
    <col min="10485" max="10485" width="8.75" customWidth="1"/>
    <col min="10486" max="10486" width="11" customWidth="1"/>
    <col min="10487" max="10487" width="2.875" customWidth="1"/>
    <col min="10488" max="10488" width="77.625" customWidth="1"/>
    <col min="10489" max="10489" width="20.875" customWidth="1"/>
    <col min="10739" max="10739" width="2.875" customWidth="1"/>
    <col min="10740" max="10740" width="8.125" customWidth="1"/>
    <col min="10741" max="10741" width="8.75" customWidth="1"/>
    <col min="10742" max="10742" width="11" customWidth="1"/>
    <col min="10743" max="10743" width="2.875" customWidth="1"/>
    <col min="10744" max="10744" width="77.625" customWidth="1"/>
    <col min="10745" max="10745" width="20.875" customWidth="1"/>
    <col min="10995" max="10995" width="2.875" customWidth="1"/>
    <col min="10996" max="10996" width="8.125" customWidth="1"/>
    <col min="10997" max="10997" width="8.75" customWidth="1"/>
    <col min="10998" max="10998" width="11" customWidth="1"/>
    <col min="10999" max="10999" width="2.875" customWidth="1"/>
    <col min="11000" max="11000" width="77.625" customWidth="1"/>
    <col min="11001" max="11001" width="20.875" customWidth="1"/>
    <col min="11251" max="11251" width="2.875" customWidth="1"/>
    <col min="11252" max="11252" width="8.125" customWidth="1"/>
    <col min="11253" max="11253" width="8.75" customWidth="1"/>
    <col min="11254" max="11254" width="11" customWidth="1"/>
    <col min="11255" max="11255" width="2.875" customWidth="1"/>
    <col min="11256" max="11256" width="77.625" customWidth="1"/>
    <col min="11257" max="11257" width="20.875" customWidth="1"/>
    <col min="11507" max="11507" width="2.875" customWidth="1"/>
    <col min="11508" max="11508" width="8.125" customWidth="1"/>
    <col min="11509" max="11509" width="8.75" customWidth="1"/>
    <col min="11510" max="11510" width="11" customWidth="1"/>
    <col min="11511" max="11511" width="2.875" customWidth="1"/>
    <col min="11512" max="11512" width="77.625" customWidth="1"/>
    <col min="11513" max="11513" width="20.875" customWidth="1"/>
    <col min="11763" max="11763" width="2.875" customWidth="1"/>
    <col min="11764" max="11764" width="8.125" customWidth="1"/>
    <col min="11765" max="11765" width="8.75" customWidth="1"/>
    <col min="11766" max="11766" width="11" customWidth="1"/>
    <col min="11767" max="11767" width="2.875" customWidth="1"/>
    <col min="11768" max="11768" width="77.625" customWidth="1"/>
    <col min="11769" max="11769" width="20.875" customWidth="1"/>
    <col min="12019" max="12019" width="2.875" customWidth="1"/>
    <col min="12020" max="12020" width="8.125" customWidth="1"/>
    <col min="12021" max="12021" width="8.75" customWidth="1"/>
    <col min="12022" max="12022" width="11" customWidth="1"/>
    <col min="12023" max="12023" width="2.875" customWidth="1"/>
    <col min="12024" max="12024" width="77.625" customWidth="1"/>
    <col min="12025" max="12025" width="20.875" customWidth="1"/>
    <col min="12275" max="12275" width="2.875" customWidth="1"/>
    <col min="12276" max="12276" width="8.125" customWidth="1"/>
    <col min="12277" max="12277" width="8.75" customWidth="1"/>
    <col min="12278" max="12278" width="11" customWidth="1"/>
    <col min="12279" max="12279" width="2.875" customWidth="1"/>
    <col min="12280" max="12280" width="77.625" customWidth="1"/>
    <col min="12281" max="12281" width="20.875" customWidth="1"/>
    <col min="12531" max="12531" width="2.875" customWidth="1"/>
    <col min="12532" max="12532" width="8.125" customWidth="1"/>
    <col min="12533" max="12533" width="8.75" customWidth="1"/>
    <col min="12534" max="12534" width="11" customWidth="1"/>
    <col min="12535" max="12535" width="2.875" customWidth="1"/>
    <col min="12536" max="12536" width="77.625" customWidth="1"/>
    <col min="12537" max="12537" width="20.875" customWidth="1"/>
    <col min="12787" max="12787" width="2.875" customWidth="1"/>
    <col min="12788" max="12788" width="8.125" customWidth="1"/>
    <col min="12789" max="12789" width="8.75" customWidth="1"/>
    <col min="12790" max="12790" width="11" customWidth="1"/>
    <col min="12791" max="12791" width="2.875" customWidth="1"/>
    <col min="12792" max="12792" width="77.625" customWidth="1"/>
    <col min="12793" max="12793" width="20.875" customWidth="1"/>
    <col min="13043" max="13043" width="2.875" customWidth="1"/>
    <col min="13044" max="13044" width="8.125" customWidth="1"/>
    <col min="13045" max="13045" width="8.75" customWidth="1"/>
    <col min="13046" max="13046" width="11" customWidth="1"/>
    <col min="13047" max="13047" width="2.875" customWidth="1"/>
    <col min="13048" max="13048" width="77.625" customWidth="1"/>
    <col min="13049" max="13049" width="20.875" customWidth="1"/>
    <col min="13299" max="13299" width="2.875" customWidth="1"/>
    <col min="13300" max="13300" width="8.125" customWidth="1"/>
    <col min="13301" max="13301" width="8.75" customWidth="1"/>
    <col min="13302" max="13302" width="11" customWidth="1"/>
    <col min="13303" max="13303" width="2.875" customWidth="1"/>
    <col min="13304" max="13304" width="77.625" customWidth="1"/>
    <col min="13305" max="13305" width="20.875" customWidth="1"/>
    <col min="13555" max="13555" width="2.875" customWidth="1"/>
    <col min="13556" max="13556" width="8.125" customWidth="1"/>
    <col min="13557" max="13557" width="8.75" customWidth="1"/>
    <col min="13558" max="13558" width="11" customWidth="1"/>
    <col min="13559" max="13559" width="2.875" customWidth="1"/>
    <col min="13560" max="13560" width="77.625" customWidth="1"/>
    <col min="13561" max="13561" width="20.875" customWidth="1"/>
    <col min="13811" max="13811" width="2.875" customWidth="1"/>
    <col min="13812" max="13812" width="8.125" customWidth="1"/>
    <col min="13813" max="13813" width="8.75" customWidth="1"/>
    <col min="13814" max="13814" width="11" customWidth="1"/>
    <col min="13815" max="13815" width="2.875" customWidth="1"/>
    <col min="13816" max="13816" width="77.625" customWidth="1"/>
    <col min="13817" max="13817" width="20.875" customWidth="1"/>
    <col min="14067" max="14067" width="2.875" customWidth="1"/>
    <col min="14068" max="14068" width="8.125" customWidth="1"/>
    <col min="14069" max="14069" width="8.75" customWidth="1"/>
    <col min="14070" max="14070" width="11" customWidth="1"/>
    <col min="14071" max="14071" width="2.875" customWidth="1"/>
    <col min="14072" max="14072" width="77.625" customWidth="1"/>
    <col min="14073" max="14073" width="20.875" customWidth="1"/>
    <col min="14323" max="14323" width="2.875" customWidth="1"/>
    <col min="14324" max="14324" width="8.125" customWidth="1"/>
    <col min="14325" max="14325" width="8.75" customWidth="1"/>
    <col min="14326" max="14326" width="11" customWidth="1"/>
    <col min="14327" max="14327" width="2.875" customWidth="1"/>
    <col min="14328" max="14328" width="77.625" customWidth="1"/>
    <col min="14329" max="14329" width="20.875" customWidth="1"/>
    <col min="14579" max="14579" width="2.875" customWidth="1"/>
    <col min="14580" max="14580" width="8.125" customWidth="1"/>
    <col min="14581" max="14581" width="8.75" customWidth="1"/>
    <col min="14582" max="14582" width="11" customWidth="1"/>
    <col min="14583" max="14583" width="2.875" customWidth="1"/>
    <col min="14584" max="14584" width="77.625" customWidth="1"/>
    <col min="14585" max="14585" width="20.875" customWidth="1"/>
    <col min="14835" max="14835" width="2.875" customWidth="1"/>
    <col min="14836" max="14836" width="8.125" customWidth="1"/>
    <col min="14837" max="14837" width="8.75" customWidth="1"/>
    <col min="14838" max="14838" width="11" customWidth="1"/>
    <col min="14839" max="14839" width="2.875" customWidth="1"/>
    <col min="14840" max="14840" width="77.625" customWidth="1"/>
    <col min="14841" max="14841" width="20.875" customWidth="1"/>
    <col min="15091" max="15091" width="2.875" customWidth="1"/>
    <col min="15092" max="15092" width="8.125" customWidth="1"/>
    <col min="15093" max="15093" width="8.75" customWidth="1"/>
    <col min="15094" max="15094" width="11" customWidth="1"/>
    <col min="15095" max="15095" width="2.875" customWidth="1"/>
    <col min="15096" max="15096" width="77.625" customWidth="1"/>
    <col min="15097" max="15097" width="20.875" customWidth="1"/>
    <col min="15347" max="15347" width="2.875" customWidth="1"/>
    <col min="15348" max="15348" width="8.125" customWidth="1"/>
    <col min="15349" max="15349" width="8.75" customWidth="1"/>
    <col min="15350" max="15350" width="11" customWidth="1"/>
    <col min="15351" max="15351" width="2.875" customWidth="1"/>
    <col min="15352" max="15352" width="77.625" customWidth="1"/>
    <col min="15353" max="15353" width="20.875" customWidth="1"/>
    <col min="15603" max="15603" width="2.875" customWidth="1"/>
    <col min="15604" max="15604" width="8.125" customWidth="1"/>
    <col min="15605" max="15605" width="8.75" customWidth="1"/>
    <col min="15606" max="15606" width="11" customWidth="1"/>
    <col min="15607" max="15607" width="2.875" customWidth="1"/>
    <col min="15608" max="15608" width="77.625" customWidth="1"/>
    <col min="15609" max="15609" width="20.875" customWidth="1"/>
    <col min="15859" max="15859" width="2.875" customWidth="1"/>
    <col min="15860" max="15860" width="8.125" customWidth="1"/>
    <col min="15861" max="15861" width="8.75" customWidth="1"/>
    <col min="15862" max="15862" width="11" customWidth="1"/>
    <col min="15863" max="15863" width="2.875" customWidth="1"/>
    <col min="15864" max="15864" width="77.625" customWidth="1"/>
    <col min="15865" max="15865" width="20.875" customWidth="1"/>
    <col min="16115" max="16115" width="2.875" customWidth="1"/>
    <col min="16116" max="16116" width="8.125" customWidth="1"/>
    <col min="16117" max="16117" width="8.75" customWidth="1"/>
    <col min="16118" max="16118" width="11" customWidth="1"/>
    <col min="16119" max="16119" width="2.875" customWidth="1"/>
    <col min="16120" max="16120" width="77.625" customWidth="1"/>
    <col min="16121" max="16121" width="20.875" customWidth="1"/>
  </cols>
  <sheetData>
    <row r="1" spans="1:20" ht="22.5" customHeight="1" x14ac:dyDescent="0.4">
      <c r="A1" s="35" t="s">
        <v>90</v>
      </c>
      <c r="B1" s="36"/>
      <c r="C1" s="37"/>
      <c r="D1" s="37"/>
      <c r="E1" s="37"/>
      <c r="F1" s="36"/>
      <c r="G1" s="149"/>
      <c r="H1" s="149"/>
      <c r="I1" s="36"/>
      <c r="J1" s="36"/>
      <c r="K1" s="36"/>
      <c r="L1" s="251"/>
      <c r="M1" s="36"/>
      <c r="N1" s="36"/>
      <c r="O1" s="36"/>
      <c r="P1" s="352"/>
      <c r="Q1" s="596"/>
      <c r="R1" s="638"/>
      <c r="S1" s="352"/>
      <c r="T1" s="352"/>
    </row>
    <row r="2" spans="1:20" ht="22.5" customHeight="1" x14ac:dyDescent="0.4">
      <c r="A2" s="35" t="s">
        <v>739</v>
      </c>
      <c r="B2" s="36"/>
      <c r="C2" s="37"/>
      <c r="D2" s="37"/>
      <c r="E2" s="37"/>
      <c r="F2" s="36"/>
      <c r="G2" s="149"/>
      <c r="H2" s="149"/>
      <c r="I2" s="36"/>
      <c r="J2" s="36"/>
      <c r="K2" s="149"/>
      <c r="L2" s="251"/>
      <c r="M2" s="36"/>
      <c r="N2" s="36"/>
      <c r="O2" s="36"/>
      <c r="P2" s="352"/>
      <c r="Q2" s="596"/>
      <c r="R2" s="638"/>
      <c r="S2" s="352"/>
      <c r="T2" s="352"/>
    </row>
    <row r="3" spans="1:20" ht="22.5" customHeight="1" x14ac:dyDescent="0.4">
      <c r="A3" s="35" t="s">
        <v>738</v>
      </c>
      <c r="B3" s="36"/>
      <c r="C3" s="37"/>
      <c r="D3" s="37"/>
      <c r="E3" s="37"/>
      <c r="F3" s="36"/>
      <c r="G3" s="149"/>
      <c r="H3" s="149"/>
      <c r="I3" s="36"/>
      <c r="J3" s="36"/>
      <c r="K3" s="36"/>
      <c r="L3" s="251"/>
      <c r="M3" s="36"/>
      <c r="N3" s="36"/>
      <c r="O3" s="36"/>
      <c r="P3" s="352"/>
      <c r="Q3" s="596"/>
      <c r="R3" s="638"/>
      <c r="S3" s="352"/>
      <c r="T3" s="352"/>
    </row>
    <row r="4" spans="1:20" ht="22.5" customHeight="1" x14ac:dyDescent="0.4">
      <c r="A4" s="35"/>
      <c r="B4" s="36"/>
      <c r="C4" s="37"/>
      <c r="D4" s="37"/>
      <c r="E4" s="37"/>
      <c r="F4" s="36"/>
      <c r="G4" s="149"/>
      <c r="H4" s="149"/>
      <c r="I4" s="36"/>
      <c r="J4" s="36"/>
      <c r="K4" s="36"/>
      <c r="L4" s="251"/>
      <c r="M4" s="36"/>
      <c r="N4" s="36"/>
      <c r="O4" s="36"/>
      <c r="P4" s="352"/>
      <c r="Q4" s="596"/>
      <c r="R4" s="638"/>
      <c r="S4" s="352"/>
      <c r="T4" s="352"/>
    </row>
    <row r="5" spans="1:20" s="39" customFormat="1" ht="5.25" customHeight="1" thickBot="1" x14ac:dyDescent="0.25">
      <c r="A5" s="38"/>
      <c r="B5" s="38"/>
      <c r="C5" s="38"/>
      <c r="D5" s="38"/>
      <c r="E5" s="38"/>
      <c r="F5" s="38"/>
      <c r="G5" s="150"/>
      <c r="H5" s="150"/>
      <c r="L5" s="252"/>
      <c r="P5" s="353"/>
      <c r="Q5" s="534"/>
      <c r="R5" s="535"/>
      <c r="S5" s="353"/>
      <c r="T5" s="353"/>
    </row>
    <row r="6" spans="1:20" s="42" customFormat="1" ht="24.75" customHeight="1" thickTop="1" thickBot="1" x14ac:dyDescent="0.25">
      <c r="A6" s="40"/>
      <c r="B6" s="40"/>
      <c r="C6" s="40"/>
      <c r="D6" s="40"/>
      <c r="E6" s="40"/>
      <c r="F6" s="40"/>
      <c r="G6" s="790" t="s">
        <v>46</v>
      </c>
      <c r="H6" s="790"/>
      <c r="I6" s="790"/>
      <c r="J6" s="790"/>
      <c r="K6" s="790"/>
      <c r="L6" s="410"/>
      <c r="M6" s="274" t="s">
        <v>176</v>
      </c>
      <c r="N6" s="274"/>
      <c r="O6" s="274" t="s">
        <v>188</v>
      </c>
      <c r="P6" s="410" t="s">
        <v>175</v>
      </c>
      <c r="Q6" s="537"/>
      <c r="R6" s="538"/>
      <c r="S6" s="354"/>
      <c r="T6" s="354"/>
    </row>
    <row r="7" spans="1:20" s="44" customFormat="1" ht="8.25" customHeight="1" thickTop="1" x14ac:dyDescent="0.2">
      <c r="A7" s="43"/>
      <c r="B7" s="43"/>
      <c r="C7" s="43"/>
      <c r="D7" s="43"/>
      <c r="E7" s="43"/>
      <c r="F7" s="43"/>
      <c r="G7" s="151"/>
      <c r="H7" s="151"/>
      <c r="L7" s="253"/>
      <c r="P7" s="354"/>
      <c r="Q7" s="472"/>
      <c r="R7" s="538"/>
      <c r="S7" s="354"/>
      <c r="T7" s="354"/>
    </row>
    <row r="8" spans="1:20" s="785" customFormat="1" ht="36.75" customHeight="1" thickBot="1" x14ac:dyDescent="0.35">
      <c r="A8" s="271"/>
      <c r="B8" s="864" t="s">
        <v>96</v>
      </c>
      <c r="C8" s="864"/>
      <c r="D8" s="864"/>
      <c r="E8" s="864"/>
      <c r="F8" s="864"/>
      <c r="G8" s="780" t="s">
        <v>740</v>
      </c>
      <c r="H8" s="780" t="s">
        <v>741</v>
      </c>
      <c r="I8" s="786" t="s">
        <v>742</v>
      </c>
      <c r="J8" s="781"/>
      <c r="K8" s="780" t="e">
        <f>G8-365-1</f>
        <v>#VALUE!</v>
      </c>
      <c r="L8" s="780">
        <v>45351</v>
      </c>
      <c r="M8" s="863" t="s">
        <v>743</v>
      </c>
      <c r="N8" s="863"/>
      <c r="O8" s="863"/>
      <c r="P8" s="782"/>
      <c r="Q8" s="783"/>
      <c r="R8" s="784"/>
      <c r="S8" s="782"/>
      <c r="T8" s="782"/>
    </row>
    <row r="9" spans="1:20" s="44" customFormat="1" ht="20.25" x14ac:dyDescent="0.2">
      <c r="A9" s="43"/>
      <c r="B9" s="43"/>
      <c r="C9" s="47" t="s">
        <v>97</v>
      </c>
      <c r="D9" s="47"/>
      <c r="E9" s="47"/>
      <c r="F9" s="43"/>
      <c r="G9" s="160">
        <v>787392</v>
      </c>
      <c r="H9" s="160">
        <v>505557</v>
      </c>
      <c r="I9" s="160">
        <v>515246.9</v>
      </c>
      <c r="J9" s="160"/>
      <c r="K9" s="160">
        <v>568663.27</v>
      </c>
      <c r="L9" s="160">
        <v>107361.07</v>
      </c>
      <c r="M9" s="261">
        <f>G9-L9</f>
        <v>680030.92999999993</v>
      </c>
      <c r="N9" s="261">
        <f>I9-H9</f>
        <v>9689.9000000000233</v>
      </c>
      <c r="O9" s="694">
        <f>(I9-H9)/H9</f>
        <v>1.9166780402605488E-2</v>
      </c>
      <c r="P9" s="693"/>
      <c r="Q9" s="472"/>
      <c r="R9" s="635"/>
      <c r="S9" s="354"/>
      <c r="T9" s="354"/>
    </row>
    <row r="10" spans="1:20" s="44" customFormat="1" ht="20.25" x14ac:dyDescent="0.2">
      <c r="A10" s="43"/>
      <c r="B10" s="43"/>
      <c r="C10" s="47" t="s">
        <v>146</v>
      </c>
      <c r="D10" s="47"/>
      <c r="E10" s="47"/>
      <c r="F10" s="43"/>
      <c r="G10" s="151">
        <v>115000</v>
      </c>
      <c r="H10" s="151">
        <v>155419</v>
      </c>
      <c r="I10" s="151">
        <v>187799</v>
      </c>
      <c r="J10" s="151"/>
      <c r="K10" s="151">
        <v>107813</v>
      </c>
      <c r="L10" s="151">
        <v>21896.39</v>
      </c>
      <c r="M10" s="182">
        <f>G10-L10</f>
        <v>93103.61</v>
      </c>
      <c r="N10" s="182">
        <f>I10-H10</f>
        <v>32380</v>
      </c>
      <c r="O10" s="694">
        <f t="shared" ref="O10:O29" si="0">(I10-H10)/H10</f>
        <v>0.20834003564557743</v>
      </c>
      <c r="P10" s="693"/>
      <c r="Q10" s="472"/>
      <c r="R10" s="635"/>
      <c r="S10" s="354"/>
      <c r="T10" s="354"/>
    </row>
    <row r="11" spans="1:20" s="44" customFormat="1" ht="20.25" x14ac:dyDescent="0.2">
      <c r="A11" s="43"/>
      <c r="B11" s="43"/>
      <c r="C11" s="47" t="s">
        <v>174</v>
      </c>
      <c r="D11" s="47"/>
      <c r="E11" s="47"/>
      <c r="F11" s="43"/>
      <c r="G11" s="151">
        <v>42500</v>
      </c>
      <c r="H11" s="151">
        <v>27167</v>
      </c>
      <c r="I11" s="151">
        <v>39117.93</v>
      </c>
      <c r="J11" s="151"/>
      <c r="K11" s="151">
        <f>35411+939</f>
        <v>36350</v>
      </c>
      <c r="L11" s="151">
        <v>5698.68</v>
      </c>
      <c r="M11" s="182">
        <f>G11-L11</f>
        <v>36801.32</v>
      </c>
      <c r="N11" s="182">
        <f t="shared" ref="N11:N27" si="1">I11-H11</f>
        <v>11950.93</v>
      </c>
      <c r="O11" s="694">
        <f t="shared" si="0"/>
        <v>0.43990613612102919</v>
      </c>
      <c r="P11" s="693"/>
      <c r="Q11" s="472"/>
      <c r="R11" s="635"/>
      <c r="S11" s="354"/>
      <c r="T11" s="354"/>
    </row>
    <row r="12" spans="1:20" s="44" customFormat="1" ht="20.25" x14ac:dyDescent="0.2">
      <c r="A12" s="43"/>
      <c r="B12" s="43"/>
      <c r="C12" s="47" t="s">
        <v>509</v>
      </c>
      <c r="D12" s="47"/>
      <c r="E12" s="47"/>
      <c r="F12" s="43"/>
      <c r="G12" s="151">
        <v>0</v>
      </c>
      <c r="I12" s="151">
        <v>5000</v>
      </c>
      <c r="J12" s="151"/>
      <c r="K12" s="151">
        <v>0</v>
      </c>
      <c r="L12" s="151"/>
      <c r="M12" s="182">
        <f>G12-L12</f>
        <v>0</v>
      </c>
      <c r="N12" s="182">
        <f t="shared" si="1"/>
        <v>5000</v>
      </c>
      <c r="O12" s="694"/>
      <c r="P12" s="693"/>
      <c r="Q12" s="472"/>
      <c r="R12" s="635"/>
      <c r="S12" s="354"/>
      <c r="T12" s="354"/>
    </row>
    <row r="13" spans="1:20" s="44" customFormat="1" ht="20.25" x14ac:dyDescent="0.2">
      <c r="A13" s="43"/>
      <c r="B13" s="43"/>
      <c r="C13" s="47" t="s">
        <v>98</v>
      </c>
      <c r="D13" s="47"/>
      <c r="E13" s="47"/>
      <c r="F13" s="43"/>
      <c r="G13" s="151"/>
      <c r="I13" s="151"/>
      <c r="J13" s="151"/>
      <c r="K13" s="151"/>
      <c r="L13" s="151"/>
      <c r="M13" s="182"/>
      <c r="N13" s="182">
        <f t="shared" si="1"/>
        <v>0</v>
      </c>
      <c r="O13" s="694"/>
      <c r="P13" s="693"/>
      <c r="Q13" s="472"/>
      <c r="R13" s="635"/>
      <c r="S13" s="354"/>
      <c r="T13" s="354"/>
    </row>
    <row r="14" spans="1:20" s="44" customFormat="1" ht="20.25" x14ac:dyDescent="0.2">
      <c r="A14" s="43"/>
      <c r="B14" s="43"/>
      <c r="D14" s="47" t="s">
        <v>135</v>
      </c>
      <c r="E14" s="47"/>
      <c r="F14" s="43"/>
      <c r="G14" s="151">
        <v>214748</v>
      </c>
      <c r="H14" s="151">
        <v>214462.02</v>
      </c>
      <c r="I14" s="151">
        <v>217141.06</v>
      </c>
      <c r="J14" s="151"/>
      <c r="K14" s="151">
        <v>176537.37</v>
      </c>
      <c r="L14" s="151">
        <v>33435</v>
      </c>
      <c r="M14" s="182">
        <f t="shared" ref="M14:M24" si="2">G14-L14</f>
        <v>181313</v>
      </c>
      <c r="N14" s="182">
        <f t="shared" si="1"/>
        <v>2679.0400000000081</v>
      </c>
      <c r="O14" s="694">
        <f t="shared" si="0"/>
        <v>1.2491908823762866E-2</v>
      </c>
      <c r="P14" s="693"/>
      <c r="Q14" s="472"/>
      <c r="R14" s="635"/>
      <c r="S14" s="354"/>
      <c r="T14" s="354"/>
    </row>
    <row r="15" spans="1:20" s="44" customFormat="1" ht="20.25" x14ac:dyDescent="0.2">
      <c r="A15" s="43"/>
      <c r="B15" s="43"/>
      <c r="D15" s="47" t="s">
        <v>154</v>
      </c>
      <c r="E15" s="47"/>
      <c r="F15" s="43"/>
      <c r="G15" s="151">
        <v>18000</v>
      </c>
      <c r="H15" s="151">
        <v>18000</v>
      </c>
      <c r="I15" s="151">
        <v>18000</v>
      </c>
      <c r="J15" s="151"/>
      <c r="K15" s="151">
        <f>G15</f>
        <v>18000</v>
      </c>
      <c r="L15" s="151">
        <v>3000</v>
      </c>
      <c r="M15" s="182">
        <f t="shared" si="2"/>
        <v>15000</v>
      </c>
      <c r="N15" s="182">
        <f t="shared" si="1"/>
        <v>0</v>
      </c>
      <c r="O15" s="694">
        <f t="shared" si="0"/>
        <v>0</v>
      </c>
      <c r="P15" s="693"/>
      <c r="Q15" s="472"/>
      <c r="R15" s="635"/>
      <c r="S15" s="354"/>
      <c r="T15" s="354"/>
    </row>
    <row r="16" spans="1:20" s="44" customFormat="1" ht="20.25" x14ac:dyDescent="0.2">
      <c r="A16" s="43"/>
      <c r="B16" s="43"/>
      <c r="D16" s="47" t="s">
        <v>383</v>
      </c>
      <c r="E16" s="47"/>
      <c r="F16" s="43"/>
      <c r="G16" s="151">
        <v>0</v>
      </c>
      <c r="H16" s="151">
        <v>5000</v>
      </c>
      <c r="I16" s="151">
        <v>5000</v>
      </c>
      <c r="J16" s="151"/>
      <c r="K16" s="151">
        <v>29596</v>
      </c>
      <c r="L16" s="151">
        <v>0</v>
      </c>
      <c r="M16" s="182">
        <f t="shared" si="2"/>
        <v>0</v>
      </c>
      <c r="N16" s="182">
        <f t="shared" si="1"/>
        <v>0</v>
      </c>
      <c r="O16" s="694">
        <f t="shared" si="0"/>
        <v>0</v>
      </c>
      <c r="P16" s="693"/>
      <c r="Q16" s="472"/>
      <c r="R16" s="635"/>
      <c r="S16" s="354"/>
      <c r="T16" s="354"/>
    </row>
    <row r="17" spans="1:20" s="44" customFormat="1" ht="20.25" x14ac:dyDescent="0.2">
      <c r="A17" s="43"/>
      <c r="B17" s="43"/>
      <c r="C17" s="47" t="s">
        <v>99</v>
      </c>
      <c r="D17" s="47"/>
      <c r="E17" s="47"/>
      <c r="F17" s="43"/>
      <c r="G17" s="337">
        <v>20000</v>
      </c>
      <c r="H17" s="151">
        <v>19611</v>
      </c>
      <c r="I17" s="151">
        <v>20091.96</v>
      </c>
      <c r="J17" s="151"/>
      <c r="K17" s="151">
        <v>19841</v>
      </c>
      <c r="L17" s="151">
        <v>2714</v>
      </c>
      <c r="M17" s="182">
        <f t="shared" si="2"/>
        <v>17286</v>
      </c>
      <c r="N17" s="182">
        <f t="shared" si="1"/>
        <v>480.95999999999913</v>
      </c>
      <c r="O17" s="694">
        <f t="shared" si="0"/>
        <v>2.4525011473152777E-2</v>
      </c>
      <c r="P17" s="693"/>
      <c r="Q17" s="472"/>
      <c r="R17" s="635"/>
      <c r="S17" s="354"/>
      <c r="T17" s="355"/>
    </row>
    <row r="18" spans="1:20" s="44" customFormat="1" ht="20.25" x14ac:dyDescent="0.2">
      <c r="A18" s="43"/>
      <c r="B18" s="43"/>
      <c r="C18" s="47" t="s">
        <v>156</v>
      </c>
      <c r="D18" s="47"/>
      <c r="E18" s="47"/>
      <c r="F18" s="43"/>
      <c r="G18" s="151">
        <v>0</v>
      </c>
      <c r="H18" s="151"/>
      <c r="I18" s="151">
        <v>1798</v>
      </c>
      <c r="J18" s="151"/>
      <c r="K18" s="151">
        <v>373</v>
      </c>
      <c r="L18" s="151">
        <v>50</v>
      </c>
      <c r="M18" s="182">
        <f t="shared" si="2"/>
        <v>-50</v>
      </c>
      <c r="N18" s="182">
        <f t="shared" si="1"/>
        <v>1798</v>
      </c>
      <c r="O18" s="694"/>
      <c r="P18" s="693"/>
      <c r="Q18" s="472"/>
      <c r="R18" s="635"/>
      <c r="S18" s="354"/>
      <c r="T18" s="355"/>
    </row>
    <row r="19" spans="1:20" s="44" customFormat="1" ht="20.25" x14ac:dyDescent="0.2">
      <c r="A19" s="43"/>
      <c r="B19" s="43"/>
      <c r="C19" s="47" t="s">
        <v>590</v>
      </c>
      <c r="D19" s="47"/>
      <c r="E19" s="47"/>
      <c r="F19" s="43"/>
      <c r="G19" s="151">
        <v>10000</v>
      </c>
      <c r="H19" s="151">
        <v>26952</v>
      </c>
      <c r="I19" s="151">
        <v>27123.62</v>
      </c>
      <c r="J19" s="151"/>
      <c r="K19" s="151">
        <v>20568</v>
      </c>
      <c r="L19" s="151">
        <v>15586.98</v>
      </c>
      <c r="M19" s="182">
        <f t="shared" si="2"/>
        <v>-5586.98</v>
      </c>
      <c r="N19" s="182">
        <f t="shared" si="1"/>
        <v>171.61999999999898</v>
      </c>
      <c r="O19" s="694">
        <f t="shared" si="0"/>
        <v>6.3676165034134381E-3</v>
      </c>
      <c r="P19" s="693"/>
      <c r="Q19" s="472"/>
      <c r="R19" s="635"/>
      <c r="S19" s="354"/>
      <c r="T19" s="355"/>
    </row>
    <row r="20" spans="1:20" s="44" customFormat="1" ht="20.25" x14ac:dyDescent="0.2">
      <c r="A20" s="43"/>
      <c r="B20" s="43"/>
      <c r="C20" s="47" t="s">
        <v>106</v>
      </c>
      <c r="D20" s="47"/>
      <c r="E20" s="47"/>
      <c r="F20" s="43"/>
      <c r="G20" s="151">
        <v>650</v>
      </c>
      <c r="H20" s="151">
        <v>5095</v>
      </c>
      <c r="I20" s="151">
        <v>6424.91</v>
      </c>
      <c r="J20" s="151"/>
      <c r="K20" s="151">
        <v>406.48</v>
      </c>
      <c r="L20" s="151">
        <v>125.05</v>
      </c>
      <c r="M20" s="182">
        <f t="shared" si="2"/>
        <v>524.95000000000005</v>
      </c>
      <c r="N20" s="182">
        <f t="shared" si="1"/>
        <v>1329.9099999999999</v>
      </c>
      <c r="O20" s="694">
        <f t="shared" si="0"/>
        <v>0.26102257114818445</v>
      </c>
      <c r="P20" s="693"/>
      <c r="Q20" s="472"/>
      <c r="R20" s="635"/>
      <c r="S20" s="354"/>
      <c r="T20" s="354"/>
    </row>
    <row r="21" spans="1:20" s="44" customFormat="1" ht="20.25" x14ac:dyDescent="0.2">
      <c r="A21" s="43"/>
      <c r="B21" s="43"/>
      <c r="C21" s="47" t="s">
        <v>230</v>
      </c>
      <c r="D21" s="47"/>
      <c r="E21" s="47"/>
      <c r="F21" s="43"/>
      <c r="G21" s="151">
        <v>1200</v>
      </c>
      <c r="H21" s="151">
        <v>5598</v>
      </c>
      <c r="I21" s="151">
        <v>33020.949999999997</v>
      </c>
      <c r="J21" s="151"/>
      <c r="K21" s="151">
        <v>3308</v>
      </c>
      <c r="L21" s="151">
        <v>447.13</v>
      </c>
      <c r="M21" s="182">
        <f t="shared" si="2"/>
        <v>752.87</v>
      </c>
      <c r="N21" s="182">
        <f t="shared" si="1"/>
        <v>27422.949999999997</v>
      </c>
      <c r="O21" s="694">
        <f t="shared" si="0"/>
        <v>4.8987048946052152</v>
      </c>
      <c r="P21" s="693"/>
      <c r="Q21" s="472"/>
      <c r="R21" s="635"/>
      <c r="S21" s="354"/>
      <c r="T21" s="355"/>
    </row>
    <row r="22" spans="1:20" s="44" customFormat="1" ht="20.25" x14ac:dyDescent="0.2">
      <c r="A22" s="43"/>
      <c r="B22" s="43"/>
      <c r="C22" s="47" t="s">
        <v>292</v>
      </c>
      <c r="D22" s="47"/>
      <c r="E22" s="47"/>
      <c r="F22" s="43"/>
      <c r="G22" s="151">
        <v>3000</v>
      </c>
      <c r="H22" s="151">
        <v>35619</v>
      </c>
      <c r="I22" s="151">
        <v>18047.73</v>
      </c>
      <c r="J22" s="151"/>
      <c r="K22" s="151">
        <v>272.41000000000003</v>
      </c>
      <c r="L22" s="151">
        <v>14369.43</v>
      </c>
      <c r="M22" s="182">
        <f t="shared" si="2"/>
        <v>-11369.43</v>
      </c>
      <c r="N22" s="182">
        <f t="shared" si="1"/>
        <v>-17571.27</v>
      </c>
      <c r="O22" s="694">
        <f t="shared" si="0"/>
        <v>-0.49331171565737386</v>
      </c>
      <c r="P22" s="693"/>
      <c r="Q22" s="472"/>
      <c r="R22" s="635"/>
      <c r="S22" s="355"/>
      <c r="T22" s="354"/>
    </row>
    <row r="23" spans="1:20" s="44" customFormat="1" ht="20.25" x14ac:dyDescent="0.2">
      <c r="A23" s="43"/>
      <c r="B23" s="43"/>
      <c r="C23" s="47" t="s">
        <v>622</v>
      </c>
      <c r="D23" s="47"/>
      <c r="E23" s="47"/>
      <c r="F23" s="43"/>
      <c r="G23" s="151">
        <v>370038</v>
      </c>
      <c r="H23" s="151">
        <v>347218</v>
      </c>
      <c r="I23" s="151">
        <v>378467.94</v>
      </c>
      <c r="J23" s="151"/>
      <c r="K23" s="151">
        <v>138836.76</v>
      </c>
      <c r="L23" s="151">
        <v>55484.05</v>
      </c>
      <c r="M23" s="182">
        <f t="shared" si="2"/>
        <v>314553.95</v>
      </c>
      <c r="N23" s="182">
        <f t="shared" si="1"/>
        <v>31249.940000000002</v>
      </c>
      <c r="O23" s="694">
        <f t="shared" si="0"/>
        <v>9.0000921611206805E-2</v>
      </c>
      <c r="P23" s="693"/>
      <c r="Q23" s="472"/>
      <c r="R23" s="635"/>
      <c r="S23" s="354"/>
      <c r="T23" s="355"/>
    </row>
    <row r="24" spans="1:20" s="44" customFormat="1" ht="20.25" x14ac:dyDescent="0.2">
      <c r="A24" s="43"/>
      <c r="B24" s="43"/>
      <c r="C24" s="47" t="s">
        <v>141</v>
      </c>
      <c r="D24" s="47"/>
      <c r="E24" s="47"/>
      <c r="F24" s="43"/>
      <c r="G24" s="151">
        <v>17250</v>
      </c>
      <c r="H24" s="151">
        <v>7844</v>
      </c>
      <c r="I24" s="151">
        <v>9209.89</v>
      </c>
      <c r="J24" s="151"/>
      <c r="K24" s="151">
        <v>9773</v>
      </c>
      <c r="L24" s="151">
        <v>655.09</v>
      </c>
      <c r="M24" s="182">
        <f t="shared" si="2"/>
        <v>16594.91</v>
      </c>
      <c r="N24" s="182">
        <f t="shared" si="1"/>
        <v>1365.8899999999994</v>
      </c>
      <c r="O24" s="694">
        <f t="shared" si="0"/>
        <v>0.17413182049974496</v>
      </c>
      <c r="P24" s="693"/>
      <c r="Q24" s="472"/>
      <c r="R24" s="635"/>
      <c r="T24" s="355"/>
    </row>
    <row r="25" spans="1:20" s="44" customFormat="1" ht="20.25" x14ac:dyDescent="0.2">
      <c r="A25" s="43"/>
      <c r="B25" s="43"/>
      <c r="C25" s="47" t="s">
        <v>98</v>
      </c>
      <c r="D25" s="47"/>
      <c r="E25" s="47"/>
      <c r="F25" s="43"/>
      <c r="G25" s="151">
        <v>21000</v>
      </c>
      <c r="H25" s="151">
        <v>21000</v>
      </c>
      <c r="I25" s="151">
        <v>21000</v>
      </c>
      <c r="J25" s="151"/>
      <c r="K25" s="151"/>
      <c r="L25" s="151"/>
      <c r="M25" s="182"/>
      <c r="N25" s="182">
        <f t="shared" si="1"/>
        <v>0</v>
      </c>
      <c r="O25" s="694">
        <f t="shared" si="0"/>
        <v>0</v>
      </c>
      <c r="P25" s="693"/>
      <c r="Q25" s="472"/>
      <c r="R25" s="635"/>
      <c r="T25" s="355"/>
    </row>
    <row r="26" spans="1:20" s="44" customFormat="1" ht="20.25" x14ac:dyDescent="0.2">
      <c r="A26" s="43"/>
      <c r="B26" s="43"/>
      <c r="C26" s="47" t="s">
        <v>306</v>
      </c>
      <c r="D26" s="47"/>
      <c r="E26" s="47"/>
      <c r="F26" s="43"/>
      <c r="G26" s="151">
        <v>54000</v>
      </c>
      <c r="H26" s="151">
        <v>52000</v>
      </c>
      <c r="I26" s="151">
        <v>52000</v>
      </c>
      <c r="J26" s="151"/>
      <c r="K26" s="151"/>
      <c r="L26" s="151"/>
      <c r="M26" s="182"/>
      <c r="N26" s="182">
        <f t="shared" si="1"/>
        <v>0</v>
      </c>
      <c r="O26" s="694">
        <f t="shared" si="0"/>
        <v>0</v>
      </c>
      <c r="P26" s="693"/>
      <c r="Q26" s="472"/>
      <c r="R26" s="635"/>
      <c r="T26" s="355"/>
    </row>
    <row r="27" spans="1:20" s="44" customFormat="1" ht="20.25" x14ac:dyDescent="0.2">
      <c r="A27" s="43"/>
      <c r="B27" s="43"/>
      <c r="C27" s="47" t="s">
        <v>308</v>
      </c>
      <c r="D27" s="47"/>
      <c r="E27" s="47"/>
      <c r="F27" s="43"/>
      <c r="G27" s="151">
        <v>18537</v>
      </c>
      <c r="H27" s="151">
        <v>13011</v>
      </c>
      <c r="I27" s="151">
        <f>8305+1320</f>
        <v>9625</v>
      </c>
      <c r="J27" s="151"/>
      <c r="K27" s="151"/>
      <c r="L27" s="151"/>
      <c r="M27" s="182"/>
      <c r="N27" s="182">
        <f t="shared" si="1"/>
        <v>-3386</v>
      </c>
      <c r="O27" s="694">
        <f t="shared" si="0"/>
        <v>-0.26024133425562984</v>
      </c>
      <c r="P27" s="693"/>
      <c r="Q27" s="472"/>
      <c r="R27" s="635"/>
      <c r="T27" s="355"/>
    </row>
    <row r="28" spans="1:20" s="44" customFormat="1" ht="21" thickBot="1" x14ac:dyDescent="0.25">
      <c r="A28" s="43"/>
      <c r="B28" s="43"/>
      <c r="C28" s="47" t="s">
        <v>105</v>
      </c>
      <c r="D28" s="47"/>
      <c r="E28" s="47"/>
      <c r="F28" s="43"/>
      <c r="G28" s="158">
        <v>52740</v>
      </c>
      <c r="H28" s="158">
        <v>52740</v>
      </c>
      <c r="I28" s="158">
        <v>52740</v>
      </c>
      <c r="J28" s="151"/>
      <c r="K28" s="158">
        <f>G28</f>
        <v>52740</v>
      </c>
      <c r="L28" s="158">
        <v>8790</v>
      </c>
      <c r="M28" s="158">
        <f>G28-L28</f>
        <v>43950</v>
      </c>
      <c r="N28" s="260">
        <f t="shared" ref="N28" si="3">H28-I28</f>
        <v>0</v>
      </c>
      <c r="O28" s="696">
        <f t="shared" si="0"/>
        <v>0</v>
      </c>
      <c r="P28" s="693"/>
      <c r="Q28" s="472"/>
      <c r="R28" s="635"/>
      <c r="S28" s="354"/>
      <c r="T28" s="354"/>
    </row>
    <row r="29" spans="1:20" s="44" customFormat="1" ht="20.25" x14ac:dyDescent="0.2">
      <c r="A29" s="43"/>
      <c r="B29" s="43"/>
      <c r="C29" s="47"/>
      <c r="D29" s="43" t="s">
        <v>101</v>
      </c>
      <c r="E29" s="47"/>
      <c r="F29" s="43"/>
      <c r="G29" s="151">
        <f>SUM(G9:G28)</f>
        <v>1746055</v>
      </c>
      <c r="H29" s="151">
        <f>SUM(H9:H28)</f>
        <v>1512293.02</v>
      </c>
      <c r="I29" s="151">
        <f>SUM(I9:I28)</f>
        <v>1616854.89</v>
      </c>
      <c r="J29" s="151"/>
      <c r="K29" s="151">
        <f>SUM(K9:K28)</f>
        <v>1183078.29</v>
      </c>
      <c r="L29" s="151">
        <f>SUM(L9:L28)</f>
        <v>269612.87</v>
      </c>
      <c r="M29" s="151">
        <f>G29-L29</f>
        <v>1476442.13</v>
      </c>
      <c r="N29" s="151">
        <f>I29-H29</f>
        <v>104561.86999999988</v>
      </c>
      <c r="O29" s="694">
        <f t="shared" si="0"/>
        <v>6.9141276602599069E-2</v>
      </c>
      <c r="P29" s="693"/>
      <c r="Q29" s="472"/>
      <c r="R29" s="635"/>
      <c r="S29" s="354"/>
      <c r="T29" s="354"/>
    </row>
    <row r="30" spans="1:20" s="44" customFormat="1" ht="6" customHeight="1" x14ac:dyDescent="0.2">
      <c r="A30" s="43"/>
      <c r="B30" s="43"/>
      <c r="C30" s="47"/>
      <c r="D30" s="43"/>
      <c r="E30" s="47"/>
      <c r="F30" s="43"/>
      <c r="G30" s="151"/>
      <c r="H30" s="151"/>
      <c r="I30" s="151"/>
      <c r="J30" s="151"/>
      <c r="K30" s="151"/>
      <c r="L30" s="253"/>
      <c r="M30" s="266"/>
      <c r="N30" s="266"/>
      <c r="O30" s="341"/>
      <c r="P30" s="693"/>
      <c r="Q30" s="472"/>
      <c r="R30" s="635"/>
      <c r="S30" s="354"/>
      <c r="T30" s="354"/>
    </row>
    <row r="31" spans="1:20" s="44" customFormat="1" ht="21" thickBot="1" x14ac:dyDescent="0.3">
      <c r="A31" s="43"/>
      <c r="B31" s="55" t="s">
        <v>107</v>
      </c>
      <c r="C31" s="55"/>
      <c r="D31" s="55"/>
      <c r="E31" s="55"/>
      <c r="F31" s="55"/>
      <c r="G31" s="158"/>
      <c r="H31" s="158"/>
      <c r="I31" s="158"/>
      <c r="K31" s="158"/>
      <c r="L31" s="268"/>
      <c r="M31" s="268"/>
      <c r="N31" s="268"/>
      <c r="O31" s="342"/>
      <c r="P31" s="8"/>
      <c r="Q31" s="472"/>
      <c r="R31" s="635"/>
      <c r="S31" s="354"/>
      <c r="T31" s="354"/>
    </row>
    <row r="32" spans="1:20" s="44" customFormat="1" ht="20.25" x14ac:dyDescent="0.2">
      <c r="A32" s="43"/>
      <c r="B32" s="43"/>
      <c r="C32" s="47" t="s">
        <v>108</v>
      </c>
      <c r="D32" s="47"/>
      <c r="E32" s="47"/>
      <c r="F32" s="47"/>
      <c r="G32" s="151">
        <v>1094561</v>
      </c>
      <c r="H32" s="151">
        <v>909876</v>
      </c>
      <c r="I32" s="151">
        <v>911233.23</v>
      </c>
      <c r="J32" s="182"/>
      <c r="K32" s="151">
        <v>777947</v>
      </c>
      <c r="L32" s="151">
        <v>141371.62</v>
      </c>
      <c r="M32" s="182">
        <f>G32-L32</f>
        <v>953189.38</v>
      </c>
      <c r="N32" s="182">
        <f>I32-H32</f>
        <v>1357.2299999999814</v>
      </c>
      <c r="O32" s="694">
        <f>(I32-H32)/H32</f>
        <v>1.4916647982801848E-3</v>
      </c>
      <c r="P32" s="693"/>
      <c r="Q32" s="472"/>
      <c r="R32" s="635"/>
      <c r="S32" s="354"/>
      <c r="T32" s="354"/>
    </row>
    <row r="33" spans="1:17" s="44" customFormat="1" ht="20.25" x14ac:dyDescent="0.2">
      <c r="A33" s="43"/>
      <c r="B33" s="43"/>
      <c r="C33" s="47" t="s">
        <v>109</v>
      </c>
      <c r="D33" s="47"/>
      <c r="E33" s="47"/>
      <c r="F33" s="47"/>
      <c r="G33" s="151">
        <v>222612</v>
      </c>
      <c r="H33" s="151">
        <v>208016</v>
      </c>
      <c r="I33" s="151">
        <v>211494.11</v>
      </c>
      <c r="J33" s="182"/>
      <c r="K33" s="151">
        <v>143772</v>
      </c>
      <c r="L33" s="151">
        <v>34051</v>
      </c>
      <c r="M33" s="182">
        <f>G33-L33</f>
        <v>188561</v>
      </c>
      <c r="N33" s="182">
        <f t="shared" ref="N33:N54" si="4">I33-H33</f>
        <v>3478.109999999986</v>
      </c>
      <c r="O33" s="694">
        <f t="shared" ref="O33:O34" si="5">(I33-H33)/H33</f>
        <v>1.6720396507960859E-2</v>
      </c>
      <c r="P33" s="693"/>
      <c r="Q33" s="472"/>
    </row>
    <row r="34" spans="1:17" s="44" customFormat="1" ht="20.25" x14ac:dyDescent="0.2">
      <c r="A34" s="43"/>
      <c r="B34" s="43"/>
      <c r="C34" s="47" t="s">
        <v>123</v>
      </c>
      <c r="D34" s="47"/>
      <c r="E34" s="47"/>
      <c r="F34" s="47"/>
      <c r="G34" s="151">
        <v>44702</v>
      </c>
      <c r="H34" s="151">
        <v>32909</v>
      </c>
      <c r="I34" s="151">
        <f>7233.4+20475.5</f>
        <v>27708.9</v>
      </c>
      <c r="J34" s="151"/>
      <c r="K34" s="151">
        <f>12954.59+52280</f>
        <v>65234.59</v>
      </c>
      <c r="L34" s="151">
        <f>2025+7500</f>
        <v>9525</v>
      </c>
      <c r="M34" s="182">
        <f>G34-L34</f>
        <v>35177</v>
      </c>
      <c r="N34" s="182">
        <f t="shared" si="4"/>
        <v>-5200.0999999999985</v>
      </c>
      <c r="O34" s="694">
        <f t="shared" si="5"/>
        <v>-0.15801452490200243</v>
      </c>
      <c r="P34" s="693"/>
      <c r="Q34" s="472"/>
    </row>
    <row r="35" spans="1:17" s="44" customFormat="1" ht="20.25" x14ac:dyDescent="0.2">
      <c r="A35" s="43"/>
      <c r="B35" s="43"/>
      <c r="C35" s="47" t="s">
        <v>161</v>
      </c>
      <c r="D35" s="47"/>
      <c r="E35" s="47"/>
      <c r="F35" s="47"/>
      <c r="G35" s="151">
        <v>23000</v>
      </c>
      <c r="H35" s="151">
        <v>26500</v>
      </c>
      <c r="I35" s="151">
        <v>24775</v>
      </c>
      <c r="J35" s="182"/>
      <c r="K35" s="151">
        <v>7175</v>
      </c>
      <c r="L35" s="151">
        <v>13500</v>
      </c>
      <c r="M35" s="182">
        <f>G35-L35</f>
        <v>9500</v>
      </c>
      <c r="N35" s="182">
        <f t="shared" si="4"/>
        <v>-1725</v>
      </c>
      <c r="O35" s="694">
        <f t="shared" ref="O35:O57" si="6">(I35-H35)/H35</f>
        <v>-6.5094339622641509E-2</v>
      </c>
      <c r="P35" s="693"/>
      <c r="Q35" s="472"/>
    </row>
    <row r="36" spans="1:17" s="44" customFormat="1" ht="20.25" x14ac:dyDescent="0.2">
      <c r="A36" s="43"/>
      <c r="B36" s="43"/>
      <c r="C36" s="47" t="s">
        <v>122</v>
      </c>
      <c r="D36" s="47"/>
      <c r="E36" s="47"/>
      <c r="F36" s="47"/>
      <c r="G36" s="151">
        <v>58875</v>
      </c>
      <c r="H36" s="151">
        <v>63501</v>
      </c>
      <c r="I36" s="151">
        <f>53776.59+2250-58.77</f>
        <v>55967.82</v>
      </c>
      <c r="J36" s="151"/>
      <c r="K36" s="151">
        <v>23914.75</v>
      </c>
      <c r="L36" s="151">
        <f>11159.71-47.98-22.29</f>
        <v>11089.439999999999</v>
      </c>
      <c r="M36" s="182">
        <f t="shared" ref="M36:M53" si="7">G36-L36</f>
        <v>47785.56</v>
      </c>
      <c r="N36" s="182">
        <f t="shared" si="4"/>
        <v>-7533.18</v>
      </c>
      <c r="O36" s="694">
        <f t="shared" si="6"/>
        <v>-0.11863088770255587</v>
      </c>
      <c r="P36" s="693"/>
      <c r="Q36" s="472"/>
    </row>
    <row r="37" spans="1:17" s="44" customFormat="1" ht="20.25" x14ac:dyDescent="0.2">
      <c r="A37" s="43"/>
      <c r="B37" s="43"/>
      <c r="C37" s="47" t="s">
        <v>117</v>
      </c>
      <c r="D37" s="47"/>
      <c r="E37" s="47"/>
      <c r="F37" s="47"/>
      <c r="G37" s="151">
        <v>1501</v>
      </c>
      <c r="H37" s="151">
        <v>1101</v>
      </c>
      <c r="I37" s="151">
        <v>1081.9000000000001</v>
      </c>
      <c r="J37" s="182"/>
      <c r="K37" s="151">
        <v>1065</v>
      </c>
      <c r="L37" s="151">
        <v>283</v>
      </c>
      <c r="M37" s="182">
        <f t="shared" si="7"/>
        <v>1218</v>
      </c>
      <c r="N37" s="182">
        <f t="shared" si="4"/>
        <v>-19.099999999999909</v>
      </c>
      <c r="O37" s="694">
        <f t="shared" si="6"/>
        <v>-1.7347865576748327E-2</v>
      </c>
      <c r="P37" s="693"/>
      <c r="Q37" s="472"/>
    </row>
    <row r="38" spans="1:17" s="44" customFormat="1" ht="20.25" x14ac:dyDescent="0.2">
      <c r="A38" s="43"/>
      <c r="B38" s="43"/>
      <c r="C38" s="47" t="s">
        <v>119</v>
      </c>
      <c r="D38" s="47"/>
      <c r="E38" s="47"/>
      <c r="F38" s="47"/>
      <c r="G38" s="151">
        <v>25000</v>
      </c>
      <c r="H38" s="151">
        <v>29444</v>
      </c>
      <c r="I38" s="151">
        <v>27058</v>
      </c>
      <c r="J38" s="151"/>
      <c r="K38" s="151">
        <v>19509</v>
      </c>
      <c r="L38" s="151">
        <v>4298</v>
      </c>
      <c r="M38" s="182">
        <f t="shared" si="7"/>
        <v>20702</v>
      </c>
      <c r="N38" s="182">
        <f t="shared" si="4"/>
        <v>-2386</v>
      </c>
      <c r="O38" s="694">
        <f t="shared" si="6"/>
        <v>-8.1035185436761303E-2</v>
      </c>
      <c r="P38" s="693"/>
      <c r="Q38" s="472"/>
    </row>
    <row r="39" spans="1:17" s="44" customFormat="1" ht="20.25" x14ac:dyDescent="0.2">
      <c r="A39" s="43"/>
      <c r="B39" s="43"/>
      <c r="C39" s="792" t="s">
        <v>311</v>
      </c>
      <c r="D39" s="792"/>
      <c r="E39" s="792"/>
      <c r="F39" s="792"/>
      <c r="G39" s="151"/>
      <c r="H39" s="151">
        <v>592</v>
      </c>
      <c r="I39" s="151">
        <v>651.5</v>
      </c>
      <c r="J39" s="182"/>
      <c r="K39" s="151">
        <v>409.5</v>
      </c>
      <c r="L39" s="151">
        <v>98</v>
      </c>
      <c r="M39" s="182">
        <f t="shared" si="7"/>
        <v>-98</v>
      </c>
      <c r="N39" s="182">
        <f t="shared" si="4"/>
        <v>59.5</v>
      </c>
      <c r="O39" s="694">
        <f t="shared" si="6"/>
        <v>0.10050675675675676</v>
      </c>
      <c r="P39" s="693"/>
      <c r="Q39" s="472"/>
    </row>
    <row r="40" spans="1:17" s="44" customFormat="1" ht="20.25" x14ac:dyDescent="0.2">
      <c r="A40" s="43"/>
      <c r="B40" s="43"/>
      <c r="C40" s="47" t="s">
        <v>115</v>
      </c>
      <c r="D40" s="47"/>
      <c r="E40" s="47"/>
      <c r="F40" s="47"/>
      <c r="G40" s="337">
        <v>42000</v>
      </c>
      <c r="H40" s="337">
        <v>28883</v>
      </c>
      <c r="I40" s="151">
        <f>16296+82+10057.7</f>
        <v>26435.7</v>
      </c>
      <c r="J40" s="182"/>
      <c r="K40" s="151">
        <f>29864+16343+5.56</f>
        <v>46212.56</v>
      </c>
      <c r="L40" s="151">
        <f>2541.52+1646.3</f>
        <v>4187.82</v>
      </c>
      <c r="M40" s="182">
        <f t="shared" si="7"/>
        <v>37812.18</v>
      </c>
      <c r="N40" s="182">
        <f t="shared" si="4"/>
        <v>-2447.2999999999993</v>
      </c>
      <c r="O40" s="694">
        <f t="shared" si="6"/>
        <v>-8.4731502960218794E-2</v>
      </c>
      <c r="P40" s="693"/>
      <c r="Q40" s="472"/>
    </row>
    <row r="41" spans="1:17" s="44" customFormat="1" ht="20.25" x14ac:dyDescent="0.2">
      <c r="A41" s="43"/>
      <c r="B41" s="43"/>
      <c r="C41" s="47" t="s">
        <v>118</v>
      </c>
      <c r="D41" s="47"/>
      <c r="E41" s="47"/>
      <c r="F41" s="47"/>
      <c r="G41" s="151">
        <v>29350</v>
      </c>
      <c r="H41" s="151">
        <v>27339</v>
      </c>
      <c r="I41" s="151">
        <v>26136</v>
      </c>
      <c r="J41" s="183"/>
      <c r="K41" s="151">
        <v>24851</v>
      </c>
      <c r="L41" s="151">
        <v>4102.96</v>
      </c>
      <c r="M41" s="182">
        <f t="shared" si="7"/>
        <v>25247.040000000001</v>
      </c>
      <c r="N41" s="182">
        <f t="shared" si="4"/>
        <v>-1203</v>
      </c>
      <c r="O41" s="694">
        <f t="shared" si="6"/>
        <v>-4.4003072533743005E-2</v>
      </c>
      <c r="P41" s="693"/>
      <c r="Q41" s="472"/>
    </row>
    <row r="42" spans="1:17" s="44" customFormat="1" ht="20.25" x14ac:dyDescent="0.2">
      <c r="A42" s="43"/>
      <c r="B42" s="43"/>
      <c r="C42" s="47" t="s">
        <v>113</v>
      </c>
      <c r="D42" s="47"/>
      <c r="E42" s="47"/>
      <c r="F42" s="47"/>
      <c r="G42" s="151">
        <v>5127</v>
      </c>
      <c r="H42" s="151">
        <v>4300</v>
      </c>
      <c r="I42" s="151">
        <v>3891.69</v>
      </c>
      <c r="J42" s="182"/>
      <c r="K42" s="151">
        <v>4907</v>
      </c>
      <c r="L42" s="151">
        <v>871.65</v>
      </c>
      <c r="M42" s="182">
        <f t="shared" si="7"/>
        <v>4255.3500000000004</v>
      </c>
      <c r="N42" s="182">
        <f t="shared" si="4"/>
        <v>-408.30999999999995</v>
      </c>
      <c r="O42" s="694">
        <f t="shared" si="6"/>
        <v>-9.4955813953488358E-2</v>
      </c>
      <c r="P42" s="693"/>
      <c r="Q42" s="472"/>
    </row>
    <row r="43" spans="1:17" s="44" customFormat="1" ht="20.25" x14ac:dyDescent="0.2">
      <c r="A43" s="43"/>
      <c r="B43" s="43"/>
      <c r="C43" s="47" t="s">
        <v>116</v>
      </c>
      <c r="D43" s="47"/>
      <c r="E43" s="47"/>
      <c r="F43" s="47"/>
      <c r="G43" s="151">
        <v>4960</v>
      </c>
      <c r="H43" s="151">
        <v>4140</v>
      </c>
      <c r="I43" s="151">
        <v>5356.36</v>
      </c>
      <c r="J43" s="182"/>
      <c r="K43" s="151">
        <v>5073</v>
      </c>
      <c r="L43" s="151">
        <v>831.48</v>
      </c>
      <c r="M43" s="182">
        <f t="shared" si="7"/>
        <v>4128.5200000000004</v>
      </c>
      <c r="N43" s="182">
        <f t="shared" si="4"/>
        <v>1216.3599999999997</v>
      </c>
      <c r="O43" s="694">
        <f t="shared" si="6"/>
        <v>0.29380676328502409</v>
      </c>
      <c r="P43" s="693"/>
      <c r="Q43" s="472"/>
    </row>
    <row r="44" spans="1:17" s="44" customFormat="1" ht="20.25" x14ac:dyDescent="0.2">
      <c r="A44" s="43"/>
      <c r="B44" s="43"/>
      <c r="C44" s="47" t="s">
        <v>112</v>
      </c>
      <c r="D44" s="47"/>
      <c r="E44" s="47"/>
      <c r="F44" s="47"/>
      <c r="G44" s="151">
        <v>2820</v>
      </c>
      <c r="H44" s="151">
        <v>2520</v>
      </c>
      <c r="I44" s="151">
        <v>3328.5</v>
      </c>
      <c r="J44" s="182"/>
      <c r="K44" s="151">
        <v>2828.9</v>
      </c>
      <c r="L44" s="151">
        <v>633</v>
      </c>
      <c r="M44" s="182">
        <f t="shared" si="7"/>
        <v>2187</v>
      </c>
      <c r="N44" s="182">
        <f t="shared" si="4"/>
        <v>808.5</v>
      </c>
      <c r="O44" s="694">
        <f t="shared" si="6"/>
        <v>0.32083333333333336</v>
      </c>
      <c r="P44" s="693"/>
      <c r="Q44" s="472"/>
    </row>
    <row r="45" spans="1:17" s="44" customFormat="1" ht="20.25" x14ac:dyDescent="0.2">
      <c r="A45" s="43"/>
      <c r="B45" s="43"/>
      <c r="C45" s="47" t="s">
        <v>114</v>
      </c>
      <c r="D45" s="47"/>
      <c r="E45" s="47"/>
      <c r="F45" s="47"/>
      <c r="G45" s="151">
        <v>5612</v>
      </c>
      <c r="H45" s="151">
        <v>2231</v>
      </c>
      <c r="I45" s="151">
        <v>2260.62</v>
      </c>
      <c r="J45" s="182"/>
      <c r="K45" s="151">
        <v>7663.4560000000001</v>
      </c>
      <c r="L45" s="151"/>
      <c r="M45" s="182">
        <f t="shared" si="7"/>
        <v>5612</v>
      </c>
      <c r="N45" s="182">
        <f t="shared" si="4"/>
        <v>29.619999999999891</v>
      </c>
      <c r="O45" s="694">
        <f t="shared" si="6"/>
        <v>1.3276557597489866E-2</v>
      </c>
      <c r="P45" s="693"/>
      <c r="Q45" s="472"/>
    </row>
    <row r="46" spans="1:17" s="44" customFormat="1" ht="20.25" x14ac:dyDescent="0.2">
      <c r="A46" s="43"/>
      <c r="B46" s="43"/>
      <c r="C46" s="47" t="s">
        <v>110</v>
      </c>
      <c r="D46" s="47"/>
      <c r="E46" s="47"/>
      <c r="F46" s="47"/>
      <c r="G46" s="151">
        <v>1800</v>
      </c>
      <c r="H46" s="151">
        <v>1800</v>
      </c>
      <c r="I46" s="151">
        <f>150*12</f>
        <v>1800</v>
      </c>
      <c r="J46" s="182"/>
      <c r="K46" s="151">
        <f>G46</f>
        <v>1800</v>
      </c>
      <c r="L46" s="151">
        <v>300</v>
      </c>
      <c r="M46" s="182">
        <f t="shared" si="7"/>
        <v>1500</v>
      </c>
      <c r="N46" s="182">
        <f t="shared" si="4"/>
        <v>0</v>
      </c>
      <c r="O46" s="694">
        <f t="shared" si="6"/>
        <v>0</v>
      </c>
      <c r="P46" s="693"/>
      <c r="Q46" s="472"/>
    </row>
    <row r="47" spans="1:17" s="44" customFormat="1" ht="20.25" x14ac:dyDescent="0.2">
      <c r="A47" s="43"/>
      <c r="B47" s="43"/>
      <c r="C47" s="47" t="s">
        <v>100</v>
      </c>
      <c r="D47" s="47"/>
      <c r="E47" s="47"/>
      <c r="F47" s="47"/>
      <c r="G47" s="151">
        <f>G28</f>
        <v>52740</v>
      </c>
      <c r="H47" s="151">
        <f>H28</f>
        <v>52740</v>
      </c>
      <c r="I47" s="151">
        <f>I28</f>
        <v>52740</v>
      </c>
      <c r="J47" s="182"/>
      <c r="K47" s="151">
        <f>K28</f>
        <v>52740</v>
      </c>
      <c r="L47" s="151">
        <f>L28</f>
        <v>8790</v>
      </c>
      <c r="M47" s="182">
        <f t="shared" si="7"/>
        <v>43950</v>
      </c>
      <c r="N47" s="182">
        <f t="shared" si="4"/>
        <v>0</v>
      </c>
      <c r="O47" s="694">
        <f t="shared" si="6"/>
        <v>0</v>
      </c>
      <c r="P47" s="693"/>
      <c r="Q47" s="472"/>
    </row>
    <row r="48" spans="1:17" s="44" customFormat="1" ht="20.25" x14ac:dyDescent="0.2">
      <c r="A48" s="43"/>
      <c r="B48" s="43"/>
      <c r="C48" s="47" t="s">
        <v>120</v>
      </c>
      <c r="D48" s="47"/>
      <c r="E48" s="47"/>
      <c r="F48" s="47"/>
      <c r="G48" s="151">
        <v>5500</v>
      </c>
      <c r="H48" s="151">
        <v>22</v>
      </c>
      <c r="I48" s="151">
        <v>397.29</v>
      </c>
      <c r="J48" s="151"/>
      <c r="K48" s="151">
        <v>5900.51</v>
      </c>
      <c r="L48" s="151">
        <v>22.29</v>
      </c>
      <c r="M48" s="182">
        <f t="shared" si="7"/>
        <v>5477.71</v>
      </c>
      <c r="N48" s="182">
        <f t="shared" si="4"/>
        <v>375.29</v>
      </c>
      <c r="O48" s="694">
        <f t="shared" si="6"/>
        <v>17.058636363636364</v>
      </c>
      <c r="P48" s="693"/>
      <c r="Q48" s="472"/>
    </row>
    <row r="49" spans="1:17" s="44" customFormat="1" ht="20.25" x14ac:dyDescent="0.2">
      <c r="A49" s="43"/>
      <c r="B49" s="43"/>
      <c r="C49" s="47" t="s">
        <v>126</v>
      </c>
      <c r="D49" s="47"/>
      <c r="E49" s="47"/>
      <c r="F49" s="47"/>
      <c r="G49" s="151">
        <v>700</v>
      </c>
      <c r="H49" s="151">
        <v>999</v>
      </c>
      <c r="I49" s="151">
        <v>1006.17</v>
      </c>
      <c r="J49" s="151"/>
      <c r="K49" s="151">
        <v>3315.48</v>
      </c>
      <c r="L49" s="151">
        <v>348.5</v>
      </c>
      <c r="M49" s="182">
        <f t="shared" si="7"/>
        <v>351.5</v>
      </c>
      <c r="N49" s="182">
        <f t="shared" si="4"/>
        <v>7.1699999999999591</v>
      </c>
      <c r="O49" s="694">
        <f t="shared" si="6"/>
        <v>7.1771771771771365E-3</v>
      </c>
      <c r="P49" s="693"/>
      <c r="Q49" s="472"/>
    </row>
    <row r="50" spans="1:17" s="44" customFormat="1" ht="20.25" x14ac:dyDescent="0.2">
      <c r="A50" s="43"/>
      <c r="B50" s="43"/>
      <c r="C50" s="47" t="s">
        <v>111</v>
      </c>
      <c r="D50" s="47"/>
      <c r="E50" s="47"/>
      <c r="F50" s="47"/>
      <c r="G50" s="151">
        <v>22993</v>
      </c>
      <c r="H50" s="151">
        <v>20106</v>
      </c>
      <c r="I50" s="151">
        <v>19087</v>
      </c>
      <c r="J50" s="182"/>
      <c r="K50" s="151">
        <v>16231.75</v>
      </c>
      <c r="L50" s="151">
        <v>3297.26</v>
      </c>
      <c r="M50" s="182">
        <f t="shared" si="7"/>
        <v>19695.739999999998</v>
      </c>
      <c r="N50" s="182">
        <f t="shared" si="4"/>
        <v>-1019</v>
      </c>
      <c r="O50" s="694">
        <f t="shared" si="6"/>
        <v>-5.0681388640206902E-2</v>
      </c>
      <c r="P50" s="693"/>
      <c r="Q50" s="472"/>
    </row>
    <row r="51" spans="1:17" s="44" customFormat="1" ht="20.25" x14ac:dyDescent="0.2">
      <c r="A51" s="43"/>
      <c r="B51" s="43"/>
      <c r="C51" s="47" t="s">
        <v>193</v>
      </c>
      <c r="D51" s="47"/>
      <c r="E51" s="47"/>
      <c r="F51" s="47"/>
      <c r="G51" s="151">
        <v>8543</v>
      </c>
      <c r="H51" s="151">
        <v>5403</v>
      </c>
      <c r="I51" s="151">
        <v>4896.6499999999996</v>
      </c>
      <c r="J51" s="151"/>
      <c r="K51" s="151">
        <v>5793</v>
      </c>
      <c r="L51" s="151">
        <v>366</v>
      </c>
      <c r="M51" s="182">
        <f t="shared" si="7"/>
        <v>8177</v>
      </c>
      <c r="N51" s="182">
        <f t="shared" si="4"/>
        <v>-506.35000000000036</v>
      </c>
      <c r="O51" s="694">
        <f t="shared" si="6"/>
        <v>-9.3716453821950832E-2</v>
      </c>
      <c r="P51" s="693"/>
      <c r="Q51" s="472"/>
    </row>
    <row r="52" spans="1:17" s="44" customFormat="1" ht="20.25" x14ac:dyDescent="0.2">
      <c r="A52" s="43"/>
      <c r="B52" s="43"/>
      <c r="C52" s="47" t="s">
        <v>160</v>
      </c>
      <c r="D52" s="47"/>
      <c r="E52" s="47"/>
      <c r="F52" s="47"/>
      <c r="G52" s="151">
        <v>60600</v>
      </c>
      <c r="H52" s="151">
        <v>66414</v>
      </c>
      <c r="I52" s="151">
        <v>62687.31</v>
      </c>
      <c r="J52" s="151"/>
      <c r="K52" s="151">
        <v>52599</v>
      </c>
      <c r="L52" s="151">
        <v>8083.41</v>
      </c>
      <c r="M52" s="182">
        <f t="shared" si="7"/>
        <v>52516.59</v>
      </c>
      <c r="N52" s="182">
        <f t="shared" si="4"/>
        <v>-3726.6900000000023</v>
      </c>
      <c r="O52" s="694">
        <f t="shared" si="6"/>
        <v>-5.6113018339506764E-2</v>
      </c>
      <c r="P52" s="693"/>
    </row>
    <row r="53" spans="1:17" s="44" customFormat="1" ht="21" thickBot="1" x14ac:dyDescent="0.25">
      <c r="A53" s="43"/>
      <c r="B53" s="43"/>
      <c r="C53" s="47" t="s">
        <v>437</v>
      </c>
      <c r="D53" s="47"/>
      <c r="E53" s="47"/>
      <c r="F53" s="47"/>
      <c r="G53" s="151">
        <v>24021</v>
      </c>
      <c r="H53" s="151">
        <v>49068</v>
      </c>
      <c r="I53" s="151">
        <v>49068</v>
      </c>
      <c r="J53" s="151"/>
      <c r="K53" s="151">
        <v>29397.5</v>
      </c>
      <c r="L53" s="151">
        <v>8178</v>
      </c>
      <c r="M53" s="260">
        <f t="shared" si="7"/>
        <v>15843</v>
      </c>
      <c r="N53" s="182">
        <f t="shared" si="4"/>
        <v>0</v>
      </c>
      <c r="O53" s="694">
        <f t="shared" si="6"/>
        <v>0</v>
      </c>
      <c r="P53" s="693"/>
      <c r="Q53" s="472"/>
    </row>
    <row r="54" spans="1:17" s="44" customFormat="1" ht="21" thickBot="1" x14ac:dyDescent="0.25">
      <c r="A54" s="47"/>
      <c r="B54" s="47"/>
      <c r="C54" s="47" t="s">
        <v>438</v>
      </c>
      <c r="D54" s="47"/>
      <c r="E54" s="47"/>
      <c r="F54" s="47"/>
      <c r="G54" s="151">
        <v>5933</v>
      </c>
      <c r="H54" s="151">
        <v>7494</v>
      </c>
      <c r="I54" s="151">
        <v>7493.88</v>
      </c>
      <c r="J54" s="151"/>
      <c r="K54" s="151">
        <v>4451</v>
      </c>
      <c r="L54" s="151">
        <v>1248.98</v>
      </c>
      <c r="M54" s="182">
        <f>G54-L54</f>
        <v>4684.0200000000004</v>
      </c>
      <c r="N54" s="260">
        <f t="shared" si="4"/>
        <v>-0.11999999999989086</v>
      </c>
      <c r="O54" s="696">
        <f t="shared" si="6"/>
        <v>-1.6012810248183995E-5</v>
      </c>
      <c r="P54" s="693"/>
      <c r="Q54" s="472"/>
    </row>
    <row r="55" spans="1:17" s="44" customFormat="1" ht="20.25" x14ac:dyDescent="0.2">
      <c r="A55" s="47"/>
      <c r="B55" s="47"/>
      <c r="C55" s="47"/>
      <c r="D55" s="43" t="s">
        <v>124</v>
      </c>
      <c r="F55" s="47"/>
      <c r="G55" s="787">
        <f>SUM(G32:G54)</f>
        <v>1742950</v>
      </c>
      <c r="H55" s="787">
        <f>SUM(H32:H54)</f>
        <v>1545398</v>
      </c>
      <c r="I55" s="787">
        <f>SUM(I32:I54)</f>
        <v>1526555.6299999997</v>
      </c>
      <c r="J55" s="151"/>
      <c r="K55" s="151"/>
      <c r="L55" s="151"/>
      <c r="M55" s="182"/>
      <c r="N55" s="182">
        <f>I55-H55</f>
        <v>-18842.370000000345</v>
      </c>
      <c r="O55" s="694">
        <f t="shared" si="6"/>
        <v>-1.2192567869248145E-2</v>
      </c>
      <c r="P55" s="693"/>
      <c r="Q55" s="472"/>
    </row>
    <row r="56" spans="1:17" s="44" customFormat="1" ht="10.5" customHeight="1" thickBot="1" x14ac:dyDescent="0.25">
      <c r="A56" s="43"/>
      <c r="B56" s="43"/>
      <c r="C56" s="43"/>
      <c r="D56" s="43"/>
      <c r="E56" s="43"/>
      <c r="F56" s="43"/>
      <c r="G56" s="158"/>
      <c r="H56" s="158"/>
      <c r="I56" s="158"/>
      <c r="J56" s="151"/>
      <c r="K56" s="158"/>
      <c r="L56" s="158"/>
      <c r="M56" s="268"/>
      <c r="N56" s="268"/>
      <c r="O56" s="268"/>
      <c r="P56" s="693"/>
      <c r="Q56" s="472"/>
    </row>
    <row r="57" spans="1:17" s="44" customFormat="1" ht="21" thickBot="1" x14ac:dyDescent="0.25">
      <c r="A57" s="43"/>
      <c r="B57" s="43"/>
      <c r="C57" s="43"/>
      <c r="D57" s="43" t="s">
        <v>125</v>
      </c>
      <c r="E57" s="43"/>
      <c r="F57" s="43"/>
      <c r="G57" s="158">
        <f>G29-G55</f>
        <v>3105</v>
      </c>
      <c r="H57" s="158">
        <f>H29-H55</f>
        <v>-33104.979999999981</v>
      </c>
      <c r="I57" s="158">
        <f>I29-I55</f>
        <v>90299.260000000242</v>
      </c>
      <c r="J57" s="151"/>
      <c r="K57" s="158" t="e">
        <f>#REF!-#REF!</f>
        <v>#REF!</v>
      </c>
      <c r="L57" s="158" t="e">
        <f>#REF!-#REF!</f>
        <v>#REF!</v>
      </c>
      <c r="M57" s="774" t="e">
        <f t="shared" ref="M57" si="8">G57-L57</f>
        <v>#REF!</v>
      </c>
      <c r="N57" s="774">
        <f>I57-H57</f>
        <v>123404.24000000022</v>
      </c>
      <c r="O57" s="698">
        <f t="shared" si="6"/>
        <v>-3.7276639345500371</v>
      </c>
      <c r="P57" s="693"/>
      <c r="Q57" s="472"/>
    </row>
  </sheetData>
  <mergeCells count="4">
    <mergeCell ref="G6:K6"/>
    <mergeCell ref="M8:O8"/>
    <mergeCell ref="C39:F39"/>
    <mergeCell ref="B8:F8"/>
  </mergeCells>
  <pageMargins left="0.65" right="0.15" top="0.25" bottom="0.25" header="0.3" footer="0.3"/>
  <pageSetup scale="47"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832B8-63BC-4D8B-8C04-10505398A972}">
  <sheetPr>
    <pageSetUpPr fitToPage="1"/>
  </sheetPr>
  <dimension ref="A1:ES72"/>
  <sheetViews>
    <sheetView topLeftCell="R1" zoomScale="75" zoomScaleNormal="75" workbookViewId="0">
      <selection activeCell="U10" sqref="U10"/>
    </sheetView>
  </sheetViews>
  <sheetFormatPr defaultRowHeight="14.25" x14ac:dyDescent="0.2"/>
  <cols>
    <col min="1" max="1" width="2.875" style="34" hidden="1" customWidth="1"/>
    <col min="2" max="2" width="8.125" style="34" hidden="1" customWidth="1"/>
    <col min="3" max="3" width="8.75" style="34" hidden="1" customWidth="1"/>
    <col min="4" max="4" width="5.75" style="34" hidden="1" customWidth="1"/>
    <col min="5" max="5" width="2.875" style="34" hidden="1" customWidth="1"/>
    <col min="6" max="6" width="45.625" style="34" hidden="1" customWidth="1"/>
    <col min="7" max="7" width="22.25" style="148" hidden="1" customWidth="1"/>
    <col min="8" max="8" width="23.125" hidden="1" customWidth="1"/>
    <col min="9" max="9" width="1.625" hidden="1" customWidth="1"/>
    <col min="10" max="10" width="26.875" hidden="1" customWidth="1"/>
    <col min="11" max="11" width="24.5" hidden="1" customWidth="1"/>
    <col min="12" max="12" width="1.625" hidden="1" customWidth="1"/>
    <col min="13" max="13" width="23.125" hidden="1" customWidth="1"/>
    <col min="14" max="14" width="1.75" hidden="1" customWidth="1"/>
    <col min="15" max="15" width="15.25" hidden="1" customWidth="1"/>
    <col min="16" max="16" width="10.625" style="3" hidden="1" customWidth="1"/>
    <col min="17" max="17" width="0" hidden="1" customWidth="1"/>
    <col min="19" max="19" width="6.75" customWidth="1"/>
    <col min="20" max="20" width="73.25" customWidth="1"/>
    <col min="21" max="21" width="30.375" customWidth="1"/>
    <col min="225" max="225" width="2.875" customWidth="1"/>
    <col min="226" max="226" width="8.125" customWidth="1"/>
    <col min="227" max="227" width="8.75" customWidth="1"/>
    <col min="228" max="228" width="11" customWidth="1"/>
    <col min="229" max="229" width="2.875" customWidth="1"/>
    <col min="230" max="230" width="77.625" customWidth="1"/>
    <col min="231" max="231" width="20.875" customWidth="1"/>
    <col min="481" max="481" width="2.875" customWidth="1"/>
    <col min="482" max="482" width="8.125" customWidth="1"/>
    <col min="483" max="483" width="8.75" customWidth="1"/>
    <col min="484" max="484" width="11" customWidth="1"/>
    <col min="485" max="485" width="2.875" customWidth="1"/>
    <col min="486" max="486" width="77.625" customWidth="1"/>
    <col min="487" max="487" width="20.875" customWidth="1"/>
    <col min="737" max="737" width="2.875" customWidth="1"/>
    <col min="738" max="738" width="8.125" customWidth="1"/>
    <col min="739" max="739" width="8.75" customWidth="1"/>
    <col min="740" max="740" width="11" customWidth="1"/>
    <col min="741" max="741" width="2.875" customWidth="1"/>
    <col min="742" max="742" width="77.625" customWidth="1"/>
    <col min="743" max="743" width="20.875" customWidth="1"/>
    <col min="993" max="993" width="2.875" customWidth="1"/>
    <col min="994" max="994" width="8.125" customWidth="1"/>
    <col min="995" max="995" width="8.75" customWidth="1"/>
    <col min="996" max="996" width="11" customWidth="1"/>
    <col min="997" max="997" width="2.875" customWidth="1"/>
    <col min="998" max="998" width="77.625" customWidth="1"/>
    <col min="999" max="999" width="20.875" customWidth="1"/>
    <col min="1249" max="1249" width="2.875" customWidth="1"/>
    <col min="1250" max="1250" width="8.125" customWidth="1"/>
    <col min="1251" max="1251" width="8.75" customWidth="1"/>
    <col min="1252" max="1252" width="11" customWidth="1"/>
    <col min="1253" max="1253" width="2.875" customWidth="1"/>
    <col min="1254" max="1254" width="77.625" customWidth="1"/>
    <col min="1255" max="1255" width="20.875" customWidth="1"/>
    <col min="1505" max="1505" width="2.875" customWidth="1"/>
    <col min="1506" max="1506" width="8.125" customWidth="1"/>
    <col min="1507" max="1507" width="8.75" customWidth="1"/>
    <col min="1508" max="1508" width="11" customWidth="1"/>
    <col min="1509" max="1509" width="2.875" customWidth="1"/>
    <col min="1510" max="1510" width="77.625" customWidth="1"/>
    <col min="1511" max="1511" width="20.875" customWidth="1"/>
    <col min="1761" max="1761" width="2.875" customWidth="1"/>
    <col min="1762" max="1762" width="8.125" customWidth="1"/>
    <col min="1763" max="1763" width="8.75" customWidth="1"/>
    <col min="1764" max="1764" width="11" customWidth="1"/>
    <col min="1765" max="1765" width="2.875" customWidth="1"/>
    <col min="1766" max="1766" width="77.625" customWidth="1"/>
    <col min="1767" max="1767" width="20.875" customWidth="1"/>
    <col min="2017" max="2017" width="2.875" customWidth="1"/>
    <col min="2018" max="2018" width="8.125" customWidth="1"/>
    <col min="2019" max="2019" width="8.75" customWidth="1"/>
    <col min="2020" max="2020" width="11" customWidth="1"/>
    <col min="2021" max="2021" width="2.875" customWidth="1"/>
    <col min="2022" max="2022" width="77.625" customWidth="1"/>
    <col min="2023" max="2023" width="20.875" customWidth="1"/>
    <col min="2273" max="2273" width="2.875" customWidth="1"/>
    <col min="2274" max="2274" width="8.125" customWidth="1"/>
    <col min="2275" max="2275" width="8.75" customWidth="1"/>
    <col min="2276" max="2276" width="11" customWidth="1"/>
    <col min="2277" max="2277" width="2.875" customWidth="1"/>
    <col min="2278" max="2278" width="77.625" customWidth="1"/>
    <col min="2279" max="2279" width="20.875" customWidth="1"/>
    <col min="2529" max="2529" width="2.875" customWidth="1"/>
    <col min="2530" max="2530" width="8.125" customWidth="1"/>
    <col min="2531" max="2531" width="8.75" customWidth="1"/>
    <col min="2532" max="2532" width="11" customWidth="1"/>
    <col min="2533" max="2533" width="2.875" customWidth="1"/>
    <col min="2534" max="2534" width="77.625" customWidth="1"/>
    <col min="2535" max="2535" width="20.875" customWidth="1"/>
    <col min="2785" max="2785" width="2.875" customWidth="1"/>
    <col min="2786" max="2786" width="8.125" customWidth="1"/>
    <col min="2787" max="2787" width="8.75" customWidth="1"/>
    <col min="2788" max="2788" width="11" customWidth="1"/>
    <col min="2789" max="2789" width="2.875" customWidth="1"/>
    <col min="2790" max="2790" width="77.625" customWidth="1"/>
    <col min="2791" max="2791" width="20.875" customWidth="1"/>
    <col min="3041" max="3041" width="2.875" customWidth="1"/>
    <col min="3042" max="3042" width="8.125" customWidth="1"/>
    <col min="3043" max="3043" width="8.75" customWidth="1"/>
    <col min="3044" max="3044" width="11" customWidth="1"/>
    <col min="3045" max="3045" width="2.875" customWidth="1"/>
    <col min="3046" max="3046" width="77.625" customWidth="1"/>
    <col min="3047" max="3047" width="20.875" customWidth="1"/>
    <col min="3297" max="3297" width="2.875" customWidth="1"/>
    <col min="3298" max="3298" width="8.125" customWidth="1"/>
    <col min="3299" max="3299" width="8.75" customWidth="1"/>
    <col min="3300" max="3300" width="11" customWidth="1"/>
    <col min="3301" max="3301" width="2.875" customWidth="1"/>
    <col min="3302" max="3302" width="77.625" customWidth="1"/>
    <col min="3303" max="3303" width="20.875" customWidth="1"/>
    <col min="3553" max="3553" width="2.875" customWidth="1"/>
    <col min="3554" max="3554" width="8.125" customWidth="1"/>
    <col min="3555" max="3555" width="8.75" customWidth="1"/>
    <col min="3556" max="3556" width="11" customWidth="1"/>
    <col min="3557" max="3557" width="2.875" customWidth="1"/>
    <col min="3558" max="3558" width="77.625" customWidth="1"/>
    <col min="3559" max="3559" width="20.875" customWidth="1"/>
    <col min="3809" max="3809" width="2.875" customWidth="1"/>
    <col min="3810" max="3810" width="8.125" customWidth="1"/>
    <col min="3811" max="3811" width="8.75" customWidth="1"/>
    <col min="3812" max="3812" width="11" customWidth="1"/>
    <col min="3813" max="3813" width="2.875" customWidth="1"/>
    <col min="3814" max="3814" width="77.625" customWidth="1"/>
    <col min="3815" max="3815" width="20.875" customWidth="1"/>
    <col min="4065" max="4065" width="2.875" customWidth="1"/>
    <col min="4066" max="4066" width="8.125" customWidth="1"/>
    <col min="4067" max="4067" width="8.75" customWidth="1"/>
    <col min="4068" max="4068" width="11" customWidth="1"/>
    <col min="4069" max="4069" width="2.875" customWidth="1"/>
    <col min="4070" max="4070" width="77.625" customWidth="1"/>
    <col min="4071" max="4071" width="20.875" customWidth="1"/>
    <col min="4321" max="4321" width="2.875" customWidth="1"/>
    <col min="4322" max="4322" width="8.125" customWidth="1"/>
    <col min="4323" max="4323" width="8.75" customWidth="1"/>
    <col min="4324" max="4324" width="11" customWidth="1"/>
    <col min="4325" max="4325" width="2.875" customWidth="1"/>
    <col min="4326" max="4326" width="77.625" customWidth="1"/>
    <col min="4327" max="4327" width="20.875" customWidth="1"/>
    <col min="4577" max="4577" width="2.875" customWidth="1"/>
    <col min="4578" max="4578" width="8.125" customWidth="1"/>
    <col min="4579" max="4579" width="8.75" customWidth="1"/>
    <col min="4580" max="4580" width="11" customWidth="1"/>
    <col min="4581" max="4581" width="2.875" customWidth="1"/>
    <col min="4582" max="4582" width="77.625" customWidth="1"/>
    <col min="4583" max="4583" width="20.875" customWidth="1"/>
    <col min="4833" max="4833" width="2.875" customWidth="1"/>
    <col min="4834" max="4834" width="8.125" customWidth="1"/>
    <col min="4835" max="4835" width="8.75" customWidth="1"/>
    <col min="4836" max="4836" width="11" customWidth="1"/>
    <col min="4837" max="4837" width="2.875" customWidth="1"/>
    <col min="4838" max="4838" width="77.625" customWidth="1"/>
    <col min="4839" max="4839" width="20.875" customWidth="1"/>
    <col min="5089" max="5089" width="2.875" customWidth="1"/>
    <col min="5090" max="5090" width="8.125" customWidth="1"/>
    <col min="5091" max="5091" width="8.75" customWidth="1"/>
    <col min="5092" max="5092" width="11" customWidth="1"/>
    <col min="5093" max="5093" width="2.875" customWidth="1"/>
    <col min="5094" max="5094" width="77.625" customWidth="1"/>
    <col min="5095" max="5095" width="20.875" customWidth="1"/>
    <col min="5345" max="5345" width="2.875" customWidth="1"/>
    <col min="5346" max="5346" width="8.125" customWidth="1"/>
    <col min="5347" max="5347" width="8.75" customWidth="1"/>
    <col min="5348" max="5348" width="11" customWidth="1"/>
    <col min="5349" max="5349" width="2.875" customWidth="1"/>
    <col min="5350" max="5350" width="77.625" customWidth="1"/>
    <col min="5351" max="5351" width="20.875" customWidth="1"/>
    <col min="5601" max="5601" width="2.875" customWidth="1"/>
    <col min="5602" max="5602" width="8.125" customWidth="1"/>
    <col min="5603" max="5603" width="8.75" customWidth="1"/>
    <col min="5604" max="5604" width="11" customWidth="1"/>
    <col min="5605" max="5605" width="2.875" customWidth="1"/>
    <col min="5606" max="5606" width="77.625" customWidth="1"/>
    <col min="5607" max="5607" width="20.875" customWidth="1"/>
    <col min="5857" max="5857" width="2.875" customWidth="1"/>
    <col min="5858" max="5858" width="8.125" customWidth="1"/>
    <col min="5859" max="5859" width="8.75" customWidth="1"/>
    <col min="5860" max="5860" width="11" customWidth="1"/>
    <col min="5861" max="5861" width="2.875" customWidth="1"/>
    <col min="5862" max="5862" width="77.625" customWidth="1"/>
    <col min="5863" max="5863" width="20.875" customWidth="1"/>
    <col min="6113" max="6113" width="2.875" customWidth="1"/>
    <col min="6114" max="6114" width="8.125" customWidth="1"/>
    <col min="6115" max="6115" width="8.75" customWidth="1"/>
    <col min="6116" max="6116" width="11" customWidth="1"/>
    <col min="6117" max="6117" width="2.875" customWidth="1"/>
    <col min="6118" max="6118" width="77.625" customWidth="1"/>
    <col min="6119" max="6119" width="20.875" customWidth="1"/>
    <col min="6369" max="6369" width="2.875" customWidth="1"/>
    <col min="6370" max="6370" width="8.125" customWidth="1"/>
    <col min="6371" max="6371" width="8.75" customWidth="1"/>
    <col min="6372" max="6372" width="11" customWidth="1"/>
    <col min="6373" max="6373" width="2.875" customWidth="1"/>
    <col min="6374" max="6374" width="77.625" customWidth="1"/>
    <col min="6375" max="6375" width="20.875" customWidth="1"/>
    <col min="6625" max="6625" width="2.875" customWidth="1"/>
    <col min="6626" max="6626" width="8.125" customWidth="1"/>
    <col min="6627" max="6627" width="8.75" customWidth="1"/>
    <col min="6628" max="6628" width="11" customWidth="1"/>
    <col min="6629" max="6629" width="2.875" customWidth="1"/>
    <col min="6630" max="6630" width="77.625" customWidth="1"/>
    <col min="6631" max="6631" width="20.875" customWidth="1"/>
    <col min="6881" max="6881" width="2.875" customWidth="1"/>
    <col min="6882" max="6882" width="8.125" customWidth="1"/>
    <col min="6883" max="6883" width="8.75" customWidth="1"/>
    <col min="6884" max="6884" width="11" customWidth="1"/>
    <col min="6885" max="6885" width="2.875" customWidth="1"/>
    <col min="6886" max="6886" width="77.625" customWidth="1"/>
    <col min="6887" max="6887" width="20.875" customWidth="1"/>
    <col min="7137" max="7137" width="2.875" customWidth="1"/>
    <col min="7138" max="7138" width="8.125" customWidth="1"/>
    <col min="7139" max="7139" width="8.75" customWidth="1"/>
    <col min="7140" max="7140" width="11" customWidth="1"/>
    <col min="7141" max="7141" width="2.875" customWidth="1"/>
    <col min="7142" max="7142" width="77.625" customWidth="1"/>
    <col min="7143" max="7143" width="20.875" customWidth="1"/>
    <col min="7393" max="7393" width="2.875" customWidth="1"/>
    <col min="7394" max="7394" width="8.125" customWidth="1"/>
    <col min="7395" max="7395" width="8.75" customWidth="1"/>
    <col min="7396" max="7396" width="11" customWidth="1"/>
    <col min="7397" max="7397" width="2.875" customWidth="1"/>
    <col min="7398" max="7398" width="77.625" customWidth="1"/>
    <col min="7399" max="7399" width="20.875" customWidth="1"/>
    <col min="7649" max="7649" width="2.875" customWidth="1"/>
    <col min="7650" max="7650" width="8.125" customWidth="1"/>
    <col min="7651" max="7651" width="8.75" customWidth="1"/>
    <col min="7652" max="7652" width="11" customWidth="1"/>
    <col min="7653" max="7653" width="2.875" customWidth="1"/>
    <col min="7654" max="7654" width="77.625" customWidth="1"/>
    <col min="7655" max="7655" width="20.875" customWidth="1"/>
    <col min="7905" max="7905" width="2.875" customWidth="1"/>
    <col min="7906" max="7906" width="8.125" customWidth="1"/>
    <col min="7907" max="7907" width="8.75" customWidth="1"/>
    <col min="7908" max="7908" width="11" customWidth="1"/>
    <col min="7909" max="7909" width="2.875" customWidth="1"/>
    <col min="7910" max="7910" width="77.625" customWidth="1"/>
    <col min="7911" max="7911" width="20.875" customWidth="1"/>
    <col min="8161" max="8161" width="2.875" customWidth="1"/>
    <col min="8162" max="8162" width="8.125" customWidth="1"/>
    <col min="8163" max="8163" width="8.75" customWidth="1"/>
    <col min="8164" max="8164" width="11" customWidth="1"/>
    <col min="8165" max="8165" width="2.875" customWidth="1"/>
    <col min="8166" max="8166" width="77.625" customWidth="1"/>
    <col min="8167" max="8167" width="20.875" customWidth="1"/>
    <col min="8417" max="8417" width="2.875" customWidth="1"/>
    <col min="8418" max="8418" width="8.125" customWidth="1"/>
    <col min="8419" max="8419" width="8.75" customWidth="1"/>
    <col min="8420" max="8420" width="11" customWidth="1"/>
    <col min="8421" max="8421" width="2.875" customWidth="1"/>
    <col min="8422" max="8422" width="77.625" customWidth="1"/>
    <col min="8423" max="8423" width="20.875" customWidth="1"/>
    <col min="8673" max="8673" width="2.875" customWidth="1"/>
    <col min="8674" max="8674" width="8.125" customWidth="1"/>
    <col min="8675" max="8675" width="8.75" customWidth="1"/>
    <col min="8676" max="8676" width="11" customWidth="1"/>
    <col min="8677" max="8677" width="2.875" customWidth="1"/>
    <col min="8678" max="8678" width="77.625" customWidth="1"/>
    <col min="8679" max="8679" width="20.875" customWidth="1"/>
    <col min="8929" max="8929" width="2.875" customWidth="1"/>
    <col min="8930" max="8930" width="8.125" customWidth="1"/>
    <col min="8931" max="8931" width="8.75" customWidth="1"/>
    <col min="8932" max="8932" width="11" customWidth="1"/>
    <col min="8933" max="8933" width="2.875" customWidth="1"/>
    <col min="8934" max="8934" width="77.625" customWidth="1"/>
    <col min="8935" max="8935" width="20.875" customWidth="1"/>
    <col min="9185" max="9185" width="2.875" customWidth="1"/>
    <col min="9186" max="9186" width="8.125" customWidth="1"/>
    <col min="9187" max="9187" width="8.75" customWidth="1"/>
    <col min="9188" max="9188" width="11" customWidth="1"/>
    <col min="9189" max="9189" width="2.875" customWidth="1"/>
    <col min="9190" max="9190" width="77.625" customWidth="1"/>
    <col min="9191" max="9191" width="20.875" customWidth="1"/>
    <col min="9441" max="9441" width="2.875" customWidth="1"/>
    <col min="9442" max="9442" width="8.125" customWidth="1"/>
    <col min="9443" max="9443" width="8.75" customWidth="1"/>
    <col min="9444" max="9444" width="11" customWidth="1"/>
    <col min="9445" max="9445" width="2.875" customWidth="1"/>
    <col min="9446" max="9446" width="77.625" customWidth="1"/>
    <col min="9447" max="9447" width="20.875" customWidth="1"/>
    <col min="9697" max="9697" width="2.875" customWidth="1"/>
    <col min="9698" max="9698" width="8.125" customWidth="1"/>
    <col min="9699" max="9699" width="8.75" customWidth="1"/>
    <col min="9700" max="9700" width="11" customWidth="1"/>
    <col min="9701" max="9701" width="2.875" customWidth="1"/>
    <col min="9702" max="9702" width="77.625" customWidth="1"/>
    <col min="9703" max="9703" width="20.875" customWidth="1"/>
    <col min="9953" max="9953" width="2.875" customWidth="1"/>
    <col min="9954" max="9954" width="8.125" customWidth="1"/>
    <col min="9955" max="9955" width="8.75" customWidth="1"/>
    <col min="9956" max="9956" width="11" customWidth="1"/>
    <col min="9957" max="9957" width="2.875" customWidth="1"/>
    <col min="9958" max="9958" width="77.625" customWidth="1"/>
    <col min="9959" max="9959" width="20.875" customWidth="1"/>
    <col min="10209" max="10209" width="2.875" customWidth="1"/>
    <col min="10210" max="10210" width="8.125" customWidth="1"/>
    <col min="10211" max="10211" width="8.75" customWidth="1"/>
    <col min="10212" max="10212" width="11" customWidth="1"/>
    <col min="10213" max="10213" width="2.875" customWidth="1"/>
    <col min="10214" max="10214" width="77.625" customWidth="1"/>
    <col min="10215" max="10215" width="20.875" customWidth="1"/>
    <col min="10465" max="10465" width="2.875" customWidth="1"/>
    <col min="10466" max="10466" width="8.125" customWidth="1"/>
    <col min="10467" max="10467" width="8.75" customWidth="1"/>
    <col min="10468" max="10468" width="11" customWidth="1"/>
    <col min="10469" max="10469" width="2.875" customWidth="1"/>
    <col min="10470" max="10470" width="77.625" customWidth="1"/>
    <col min="10471" max="10471" width="20.875" customWidth="1"/>
    <col min="10721" max="10721" width="2.875" customWidth="1"/>
    <col min="10722" max="10722" width="8.125" customWidth="1"/>
    <col min="10723" max="10723" width="8.75" customWidth="1"/>
    <col min="10724" max="10724" width="11" customWidth="1"/>
    <col min="10725" max="10725" width="2.875" customWidth="1"/>
    <col min="10726" max="10726" width="77.625" customWidth="1"/>
    <col min="10727" max="10727" width="20.875" customWidth="1"/>
    <col min="10977" max="10977" width="2.875" customWidth="1"/>
    <col min="10978" max="10978" width="8.125" customWidth="1"/>
    <col min="10979" max="10979" width="8.75" customWidth="1"/>
    <col min="10980" max="10980" width="11" customWidth="1"/>
    <col min="10981" max="10981" width="2.875" customWidth="1"/>
    <col min="10982" max="10982" width="77.625" customWidth="1"/>
    <col min="10983" max="10983" width="20.875" customWidth="1"/>
    <col min="11233" max="11233" width="2.875" customWidth="1"/>
    <col min="11234" max="11234" width="8.125" customWidth="1"/>
    <col min="11235" max="11235" width="8.75" customWidth="1"/>
    <col min="11236" max="11236" width="11" customWidth="1"/>
    <col min="11237" max="11237" width="2.875" customWidth="1"/>
    <col min="11238" max="11238" width="77.625" customWidth="1"/>
    <col min="11239" max="11239" width="20.875" customWidth="1"/>
    <col min="11489" max="11489" width="2.875" customWidth="1"/>
    <col min="11490" max="11490" width="8.125" customWidth="1"/>
    <col min="11491" max="11491" width="8.75" customWidth="1"/>
    <col min="11492" max="11492" width="11" customWidth="1"/>
    <col min="11493" max="11493" width="2.875" customWidth="1"/>
    <col min="11494" max="11494" width="77.625" customWidth="1"/>
    <col min="11495" max="11495" width="20.875" customWidth="1"/>
    <col min="11745" max="11745" width="2.875" customWidth="1"/>
    <col min="11746" max="11746" width="8.125" customWidth="1"/>
    <col min="11747" max="11747" width="8.75" customWidth="1"/>
    <col min="11748" max="11748" width="11" customWidth="1"/>
    <col min="11749" max="11749" width="2.875" customWidth="1"/>
    <col min="11750" max="11750" width="77.625" customWidth="1"/>
    <col min="11751" max="11751" width="20.875" customWidth="1"/>
    <col min="12001" max="12001" width="2.875" customWidth="1"/>
    <col min="12002" max="12002" width="8.125" customWidth="1"/>
    <col min="12003" max="12003" width="8.75" customWidth="1"/>
    <col min="12004" max="12004" width="11" customWidth="1"/>
    <col min="12005" max="12005" width="2.875" customWidth="1"/>
    <col min="12006" max="12006" width="77.625" customWidth="1"/>
    <col min="12007" max="12007" width="20.875" customWidth="1"/>
    <col min="12257" max="12257" width="2.875" customWidth="1"/>
    <col min="12258" max="12258" width="8.125" customWidth="1"/>
    <col min="12259" max="12259" width="8.75" customWidth="1"/>
    <col min="12260" max="12260" width="11" customWidth="1"/>
    <col min="12261" max="12261" width="2.875" customWidth="1"/>
    <col min="12262" max="12262" width="77.625" customWidth="1"/>
    <col min="12263" max="12263" width="20.875" customWidth="1"/>
    <col min="12513" max="12513" width="2.875" customWidth="1"/>
    <col min="12514" max="12514" width="8.125" customWidth="1"/>
    <col min="12515" max="12515" width="8.75" customWidth="1"/>
    <col min="12516" max="12516" width="11" customWidth="1"/>
    <col min="12517" max="12517" width="2.875" customWidth="1"/>
    <col min="12518" max="12518" width="77.625" customWidth="1"/>
    <col min="12519" max="12519" width="20.875" customWidth="1"/>
    <col min="12769" max="12769" width="2.875" customWidth="1"/>
    <col min="12770" max="12770" width="8.125" customWidth="1"/>
    <col min="12771" max="12771" width="8.75" customWidth="1"/>
    <col min="12772" max="12772" width="11" customWidth="1"/>
    <col min="12773" max="12773" width="2.875" customWidth="1"/>
    <col min="12774" max="12774" width="77.625" customWidth="1"/>
    <col min="12775" max="12775" width="20.875" customWidth="1"/>
    <col min="13025" max="13025" width="2.875" customWidth="1"/>
    <col min="13026" max="13026" width="8.125" customWidth="1"/>
    <col min="13027" max="13027" width="8.75" customWidth="1"/>
    <col min="13028" max="13028" width="11" customWidth="1"/>
    <col min="13029" max="13029" width="2.875" customWidth="1"/>
    <col min="13030" max="13030" width="77.625" customWidth="1"/>
    <col min="13031" max="13031" width="20.875" customWidth="1"/>
    <col min="13281" max="13281" width="2.875" customWidth="1"/>
    <col min="13282" max="13282" width="8.125" customWidth="1"/>
    <col min="13283" max="13283" width="8.75" customWidth="1"/>
    <col min="13284" max="13284" width="11" customWidth="1"/>
    <col min="13285" max="13285" width="2.875" customWidth="1"/>
    <col min="13286" max="13286" width="77.625" customWidth="1"/>
    <col min="13287" max="13287" width="20.875" customWidth="1"/>
    <col min="13537" max="13537" width="2.875" customWidth="1"/>
    <col min="13538" max="13538" width="8.125" customWidth="1"/>
    <col min="13539" max="13539" width="8.75" customWidth="1"/>
    <col min="13540" max="13540" width="11" customWidth="1"/>
    <col min="13541" max="13541" width="2.875" customWidth="1"/>
    <col min="13542" max="13542" width="77.625" customWidth="1"/>
    <col min="13543" max="13543" width="20.875" customWidth="1"/>
    <col min="13793" max="13793" width="2.875" customWidth="1"/>
    <col min="13794" max="13794" width="8.125" customWidth="1"/>
    <col min="13795" max="13795" width="8.75" customWidth="1"/>
    <col min="13796" max="13796" width="11" customWidth="1"/>
    <col min="13797" max="13797" width="2.875" customWidth="1"/>
    <col min="13798" max="13798" width="77.625" customWidth="1"/>
    <col min="13799" max="13799" width="20.875" customWidth="1"/>
    <col min="14049" max="14049" width="2.875" customWidth="1"/>
    <col min="14050" max="14050" width="8.125" customWidth="1"/>
    <col min="14051" max="14051" width="8.75" customWidth="1"/>
    <col min="14052" max="14052" width="11" customWidth="1"/>
    <col min="14053" max="14053" width="2.875" customWidth="1"/>
    <col min="14054" max="14054" width="77.625" customWidth="1"/>
    <col min="14055" max="14055" width="20.875" customWidth="1"/>
    <col min="14305" max="14305" width="2.875" customWidth="1"/>
    <col min="14306" max="14306" width="8.125" customWidth="1"/>
    <col min="14307" max="14307" width="8.75" customWidth="1"/>
    <col min="14308" max="14308" width="11" customWidth="1"/>
    <col min="14309" max="14309" width="2.875" customWidth="1"/>
    <col min="14310" max="14310" width="77.625" customWidth="1"/>
    <col min="14311" max="14311" width="20.875" customWidth="1"/>
    <col min="14561" max="14561" width="2.875" customWidth="1"/>
    <col min="14562" max="14562" width="8.125" customWidth="1"/>
    <col min="14563" max="14563" width="8.75" customWidth="1"/>
    <col min="14564" max="14564" width="11" customWidth="1"/>
    <col min="14565" max="14565" width="2.875" customWidth="1"/>
    <col min="14566" max="14566" width="77.625" customWidth="1"/>
    <col min="14567" max="14567" width="20.875" customWidth="1"/>
    <col min="14817" max="14817" width="2.875" customWidth="1"/>
    <col min="14818" max="14818" width="8.125" customWidth="1"/>
    <col min="14819" max="14819" width="8.75" customWidth="1"/>
    <col min="14820" max="14820" width="11" customWidth="1"/>
    <col min="14821" max="14821" width="2.875" customWidth="1"/>
    <col min="14822" max="14822" width="77.625" customWidth="1"/>
    <col min="14823" max="14823" width="20.875" customWidth="1"/>
    <col min="15073" max="15073" width="2.875" customWidth="1"/>
    <col min="15074" max="15074" width="8.125" customWidth="1"/>
    <col min="15075" max="15075" width="8.75" customWidth="1"/>
    <col min="15076" max="15076" width="11" customWidth="1"/>
    <col min="15077" max="15077" width="2.875" customWidth="1"/>
    <col min="15078" max="15078" width="77.625" customWidth="1"/>
    <col min="15079" max="15079" width="20.875" customWidth="1"/>
    <col min="15329" max="15329" width="2.875" customWidth="1"/>
    <col min="15330" max="15330" width="8.125" customWidth="1"/>
    <col min="15331" max="15331" width="8.75" customWidth="1"/>
    <col min="15332" max="15332" width="11" customWidth="1"/>
    <col min="15333" max="15333" width="2.875" customWidth="1"/>
    <col min="15334" max="15334" width="77.625" customWidth="1"/>
    <col min="15335" max="15335" width="20.875" customWidth="1"/>
    <col min="15585" max="15585" width="2.875" customWidth="1"/>
    <col min="15586" max="15586" width="8.125" customWidth="1"/>
    <col min="15587" max="15587" width="8.75" customWidth="1"/>
    <col min="15588" max="15588" width="11" customWidth="1"/>
    <col min="15589" max="15589" width="2.875" customWidth="1"/>
    <col min="15590" max="15590" width="77.625" customWidth="1"/>
    <col min="15591" max="15591" width="20.875" customWidth="1"/>
    <col min="15841" max="15841" width="2.875" customWidth="1"/>
    <col min="15842" max="15842" width="8.125" customWidth="1"/>
    <col min="15843" max="15843" width="8.75" customWidth="1"/>
    <col min="15844" max="15844" width="11" customWidth="1"/>
    <col min="15845" max="15845" width="2.875" customWidth="1"/>
    <col min="15846" max="15846" width="77.625" customWidth="1"/>
    <col min="15847" max="15847" width="20.875" customWidth="1"/>
    <col min="16097" max="16097" width="2.875" customWidth="1"/>
    <col min="16098" max="16098" width="8.125" customWidth="1"/>
    <col min="16099" max="16099" width="8.75" customWidth="1"/>
    <col min="16100" max="16100" width="11" customWidth="1"/>
    <col min="16101" max="16101" width="2.875" customWidth="1"/>
    <col min="16102" max="16102" width="77.625" customWidth="1"/>
    <col min="16103" max="16103" width="20.875" customWidth="1"/>
  </cols>
  <sheetData>
    <row r="1" spans="1:149" ht="22.5" customHeight="1" x14ac:dyDescent="0.4">
      <c r="A1" s="35" t="s">
        <v>90</v>
      </c>
      <c r="B1" s="36"/>
      <c r="C1" s="37"/>
      <c r="D1" s="37"/>
      <c r="E1" s="37"/>
      <c r="F1" s="36"/>
      <c r="G1" s="149"/>
      <c r="H1" s="36"/>
      <c r="I1" s="36"/>
      <c r="J1" s="36"/>
      <c r="K1" s="36"/>
      <c r="L1" s="36"/>
      <c r="M1" s="36"/>
      <c r="N1" s="36"/>
      <c r="O1" s="36"/>
      <c r="P1" s="37"/>
      <c r="Q1" s="36"/>
      <c r="R1" s="36"/>
      <c r="S1" s="36"/>
      <c r="T1" s="35" t="s">
        <v>90</v>
      </c>
      <c r="U1" s="35"/>
    </row>
    <row r="2" spans="1:149" ht="22.5" customHeight="1" x14ac:dyDescent="0.4">
      <c r="A2" s="35" t="s">
        <v>206</v>
      </c>
      <c r="B2" s="36"/>
      <c r="C2" s="37"/>
      <c r="D2" s="37"/>
      <c r="E2" s="37"/>
      <c r="F2" s="36"/>
      <c r="G2" s="149"/>
      <c r="H2" s="36"/>
      <c r="I2" s="36"/>
      <c r="J2" s="36"/>
      <c r="K2" s="36"/>
      <c r="L2" s="36"/>
      <c r="M2" s="36"/>
      <c r="N2" s="36"/>
      <c r="O2" s="36"/>
      <c r="P2" s="37"/>
      <c r="Q2" s="36"/>
      <c r="R2" s="36"/>
      <c r="S2" s="36"/>
      <c r="T2" s="35" t="s">
        <v>206</v>
      </c>
      <c r="U2" s="35"/>
    </row>
    <row r="3" spans="1:149" ht="21.75" customHeight="1" x14ac:dyDescent="0.4">
      <c r="A3" s="35" t="str">
        <f>'February''25 State of Activities'!A3</f>
        <v>Two Months Ended February 28, 2025 and February 29, 2024</v>
      </c>
      <c r="B3" s="36"/>
      <c r="C3" s="37"/>
      <c r="D3" s="37"/>
      <c r="E3" s="37"/>
      <c r="F3" s="36"/>
      <c r="G3" s="149"/>
      <c r="H3" s="36"/>
      <c r="I3" s="36"/>
      <c r="J3" s="36"/>
      <c r="K3" s="36"/>
      <c r="L3" s="36"/>
      <c r="M3" s="36"/>
      <c r="N3" s="36"/>
      <c r="O3" s="36"/>
      <c r="P3" s="37"/>
      <c r="Q3" s="36"/>
      <c r="R3" s="36"/>
      <c r="S3" s="36"/>
      <c r="T3" s="35" t="s">
        <v>677</v>
      </c>
      <c r="U3" s="35"/>
    </row>
    <row r="4" spans="1:149" ht="22.5" customHeight="1" x14ac:dyDescent="0.4">
      <c r="A4" s="35"/>
      <c r="B4" s="36"/>
      <c r="C4" s="37"/>
      <c r="D4" s="37"/>
      <c r="E4" s="37"/>
      <c r="F4" s="36"/>
      <c r="G4" s="149"/>
      <c r="H4" s="36"/>
      <c r="I4" s="36"/>
      <c r="J4" s="36"/>
      <c r="K4" s="36"/>
      <c r="L4" s="36"/>
      <c r="M4" s="36"/>
      <c r="N4" s="36"/>
      <c r="O4" s="36"/>
      <c r="P4" s="37"/>
      <c r="Q4" s="36"/>
      <c r="R4" s="36"/>
      <c r="S4" s="36"/>
      <c r="T4" s="36"/>
      <c r="U4" s="36"/>
    </row>
    <row r="5" spans="1:149" s="39" customFormat="1" ht="8.25" customHeight="1" thickBot="1" x14ac:dyDescent="0.25">
      <c r="A5" s="38"/>
      <c r="B5" s="38"/>
      <c r="C5" s="38"/>
      <c r="D5" s="38"/>
      <c r="E5" s="38"/>
      <c r="F5" s="38"/>
      <c r="G5" s="150"/>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row>
    <row r="6" spans="1:149" s="42" customFormat="1" ht="24.75" customHeight="1" thickTop="1" thickBot="1" x14ac:dyDescent="0.25">
      <c r="A6" s="40" t="s">
        <v>104</v>
      </c>
      <c r="B6" s="40"/>
      <c r="C6" s="40"/>
      <c r="D6" s="40"/>
      <c r="E6" s="40"/>
      <c r="F6" s="40"/>
      <c r="G6" s="269"/>
      <c r="H6" s="157" t="s">
        <v>46</v>
      </c>
      <c r="I6" s="157"/>
      <c r="J6" s="790" t="s">
        <v>46</v>
      </c>
      <c r="K6" s="790"/>
      <c r="L6" s="790"/>
      <c r="M6" s="790"/>
      <c r="N6" s="41"/>
      <c r="O6" s="277" t="s">
        <v>176</v>
      </c>
      <c r="P6" s="274" t="s">
        <v>188</v>
      </c>
      <c r="Q6" s="41"/>
      <c r="R6" s="41"/>
      <c r="S6" s="41"/>
      <c r="T6" s="41"/>
      <c r="U6" s="41"/>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row>
    <row r="7" spans="1:149" s="44" customFormat="1" ht="8.25" customHeight="1" thickTop="1" x14ac:dyDescent="0.2">
      <c r="A7" s="43"/>
      <c r="B7" s="43"/>
      <c r="C7" s="43"/>
      <c r="D7" s="43"/>
      <c r="E7" s="43"/>
      <c r="F7" s="43"/>
      <c r="G7" s="151"/>
      <c r="P7" s="39"/>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row>
    <row r="8" spans="1:149" ht="21" thickBot="1" x14ac:dyDescent="0.35">
      <c r="A8" s="45"/>
      <c r="B8" s="98" t="s">
        <v>96</v>
      </c>
      <c r="C8" s="98"/>
      <c r="D8" s="98"/>
      <c r="E8" s="98"/>
      <c r="F8" s="98"/>
      <c r="G8" s="187">
        <v>41090</v>
      </c>
      <c r="H8" s="187">
        <v>41274</v>
      </c>
      <c r="I8" s="224"/>
      <c r="J8" s="187">
        <f>'February''25 State of Activities'!G8</f>
        <v>45716</v>
      </c>
      <c r="K8" s="449">
        <v>45291</v>
      </c>
      <c r="L8" s="224"/>
      <c r="M8" s="449">
        <f>'February''25 State of Activities'!J8</f>
        <v>45350</v>
      </c>
      <c r="O8" s="861" t="s">
        <v>646</v>
      </c>
      <c r="P8" s="861"/>
      <c r="S8" s="98" t="s">
        <v>96</v>
      </c>
      <c r="T8" s="98"/>
      <c r="U8" s="720" t="s">
        <v>680</v>
      </c>
    </row>
    <row r="9" spans="1:149" s="44" customFormat="1" ht="20.25" x14ac:dyDescent="0.2">
      <c r="A9" s="43"/>
      <c r="B9" s="43"/>
      <c r="C9" s="47" t="s">
        <v>146</v>
      </c>
      <c r="D9" s="47"/>
      <c r="E9" s="47"/>
      <c r="F9" s="43"/>
      <c r="G9" s="151">
        <v>127719</v>
      </c>
      <c r="H9" s="151">
        <v>67566.5</v>
      </c>
      <c r="I9" s="151"/>
      <c r="J9" s="160">
        <f>'February''25 State of Activities'!G10</f>
        <v>32500</v>
      </c>
      <c r="K9" s="160">
        <f>'February''25 State of Activities'!H10</f>
        <v>187799</v>
      </c>
      <c r="L9" s="160"/>
      <c r="M9" s="160">
        <f>'February''25 State of Activities'!J10</f>
        <v>107813</v>
      </c>
      <c r="O9" s="261">
        <f>J9-K9</f>
        <v>-155299</v>
      </c>
      <c r="P9" s="694">
        <f>(J9-K9)/K9</f>
        <v>-0.82694263547729219</v>
      </c>
      <c r="T9" s="47" t="str">
        <f>C9</f>
        <v xml:space="preserve">Transportation - Medicaid </v>
      </c>
      <c r="U9" s="160">
        <f>AVERAGE(J9:K9)+35000</f>
        <v>145149.5</v>
      </c>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row>
    <row r="10" spans="1:149" s="44" customFormat="1" ht="20.25" x14ac:dyDescent="0.2">
      <c r="A10" s="43"/>
      <c r="B10" s="43"/>
      <c r="C10" s="47" t="s">
        <v>207</v>
      </c>
      <c r="D10" s="47"/>
      <c r="E10" s="47"/>
      <c r="F10" s="43"/>
      <c r="G10" s="160">
        <v>875436</v>
      </c>
      <c r="H10" s="160">
        <v>372424.1</v>
      </c>
      <c r="I10" s="160"/>
      <c r="J10" s="151">
        <f>342*12</f>
        <v>4104</v>
      </c>
      <c r="K10" s="151">
        <v>8019</v>
      </c>
      <c r="L10" s="160"/>
      <c r="M10" s="151">
        <v>3622.53</v>
      </c>
      <c r="O10" s="337">
        <f>J10-K10</f>
        <v>-3915</v>
      </c>
      <c r="P10" s="694">
        <f>(J10-K10)/K10</f>
        <v>-0.48821548821548821</v>
      </c>
      <c r="T10" s="47" t="str">
        <f t="shared" ref="T10:T60" si="0">C10</f>
        <v>Grants - New York State - Rural Health Network</v>
      </c>
      <c r="U10" s="151">
        <v>4100</v>
      </c>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row>
    <row r="11" spans="1:149" s="44" customFormat="1" ht="20.25" x14ac:dyDescent="0.2">
      <c r="A11" s="43"/>
      <c r="B11" s="43"/>
      <c r="C11" s="47" t="s">
        <v>372</v>
      </c>
      <c r="D11" s="47"/>
      <c r="E11" s="47"/>
      <c r="F11" s="43"/>
      <c r="G11" s="160"/>
      <c r="H11" s="160"/>
      <c r="I11" s="160"/>
      <c r="J11" s="151"/>
      <c r="K11" s="151">
        <v>15310</v>
      </c>
      <c r="L11" s="160"/>
      <c r="M11" s="151"/>
      <c r="O11" s="337">
        <f>J11-K11</f>
        <v>-15310</v>
      </c>
      <c r="P11" s="694">
        <f>(J11-K11)/K11</f>
        <v>-1</v>
      </c>
      <c r="T11" s="47" t="str">
        <f t="shared" si="0"/>
        <v>Grants - New York State - Assoc for Rural Health</v>
      </c>
      <c r="U11" s="151">
        <f>15310-8000</f>
        <v>7310</v>
      </c>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row>
    <row r="12" spans="1:149" s="44" customFormat="1" ht="20.25" x14ac:dyDescent="0.2">
      <c r="A12" s="43"/>
      <c r="B12" s="43"/>
      <c r="C12" s="47" t="s">
        <v>98</v>
      </c>
      <c r="D12" s="47"/>
      <c r="E12" s="47"/>
      <c r="F12" s="43"/>
      <c r="G12" s="151"/>
      <c r="H12" s="151"/>
      <c r="I12" s="151"/>
      <c r="J12" s="151"/>
      <c r="K12" s="151"/>
      <c r="L12" s="151"/>
      <c r="M12" s="151"/>
      <c r="O12" s="337"/>
      <c r="P12" s="281"/>
      <c r="T12" s="721" t="str">
        <f t="shared" si="0"/>
        <v>Columbia County Departments</v>
      </c>
      <c r="U12" s="151"/>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row>
    <row r="13" spans="1:149" s="44" customFormat="1" ht="20.25" x14ac:dyDescent="0.2">
      <c r="A13" s="43"/>
      <c r="B13" s="43"/>
      <c r="D13" s="47" t="s">
        <v>208</v>
      </c>
      <c r="E13" s="47"/>
      <c r="F13" s="43"/>
      <c r="G13" s="151">
        <v>94235.25</v>
      </c>
      <c r="H13" s="151">
        <v>37190.379999999997</v>
      </c>
      <c r="I13" s="151"/>
      <c r="J13" s="151" t="e">
        <f>'February''25 Revenues &amp; Expenses'!#REF!</f>
        <v>#REF!</v>
      </c>
      <c r="K13" s="151">
        <v>47500</v>
      </c>
      <c r="L13" s="151"/>
      <c r="M13" s="151">
        <v>39583</v>
      </c>
      <c r="O13" s="337" t="e">
        <f t="shared" ref="O13:O22" si="1">J13-K13</f>
        <v>#REF!</v>
      </c>
      <c r="P13" s="694" t="e">
        <f t="shared" ref="P13:P20" si="2">(J13-K13)/K13</f>
        <v>#REF!</v>
      </c>
      <c r="T13" s="721" t="s">
        <v>673</v>
      </c>
      <c r="U13" s="151">
        <v>51500</v>
      </c>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row>
    <row r="14" spans="1:149" s="44" customFormat="1" ht="20.25" x14ac:dyDescent="0.2">
      <c r="A14" s="43"/>
      <c r="B14" s="43"/>
      <c r="D14" s="47" t="s">
        <v>154</v>
      </c>
      <c r="E14" s="47"/>
      <c r="F14" s="43"/>
      <c r="G14" s="151"/>
      <c r="H14" s="151"/>
      <c r="I14" s="151"/>
      <c r="J14" s="151">
        <f>'February''25 Revenues &amp; Expenses'!J13</f>
        <v>3000</v>
      </c>
      <c r="K14" s="151">
        <v>18000</v>
      </c>
      <c r="L14" s="151"/>
      <c r="M14" s="151">
        <f>'February''25 State of Activities'!J16</f>
        <v>3000</v>
      </c>
      <c r="O14" s="337">
        <f t="shared" si="1"/>
        <v>-15000</v>
      </c>
      <c r="P14" s="694">
        <f t="shared" si="2"/>
        <v>-0.83333333333333337</v>
      </c>
      <c r="T14" s="47" t="s">
        <v>154</v>
      </c>
      <c r="U14" s="151">
        <v>18000</v>
      </c>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row>
    <row r="15" spans="1:149" s="44" customFormat="1" ht="20.25" x14ac:dyDescent="0.2">
      <c r="A15" s="43"/>
      <c r="B15" s="43"/>
      <c r="C15" s="47" t="s">
        <v>99</v>
      </c>
      <c r="D15" s="47"/>
      <c r="E15" s="47"/>
      <c r="F15" s="43"/>
      <c r="G15" s="151">
        <v>0</v>
      </c>
      <c r="H15" s="151">
        <v>3517</v>
      </c>
      <c r="I15" s="151"/>
      <c r="J15" s="151">
        <f>'February''25 State of Activities'!G18</f>
        <v>2223</v>
      </c>
      <c r="K15" s="151">
        <v>23822</v>
      </c>
      <c r="L15" s="151"/>
      <c r="M15" s="151">
        <v>19841</v>
      </c>
      <c r="O15" s="337">
        <f t="shared" si="1"/>
        <v>-21599</v>
      </c>
      <c r="P15" s="694">
        <f t="shared" si="2"/>
        <v>-0.90668289816136349</v>
      </c>
      <c r="T15" s="47" t="str">
        <f t="shared" si="0"/>
        <v>Donations - Transportation</v>
      </c>
      <c r="U15" s="151">
        <v>20000</v>
      </c>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row>
    <row r="16" spans="1:149" s="44" customFormat="1" ht="20.25" x14ac:dyDescent="0.2">
      <c r="A16" s="43"/>
      <c r="B16" s="43"/>
      <c r="C16" s="47" t="s">
        <v>654</v>
      </c>
      <c r="D16" s="47"/>
      <c r="E16" s="47"/>
      <c r="F16" s="43"/>
      <c r="G16" s="151"/>
      <c r="H16" s="151"/>
      <c r="I16" s="151"/>
      <c r="J16" s="151">
        <f>8377.37</f>
        <v>8377.3700000000008</v>
      </c>
      <c r="K16" s="151">
        <v>25432</v>
      </c>
      <c r="L16" s="151"/>
      <c r="M16" s="151">
        <v>24284</v>
      </c>
      <c r="O16" s="337">
        <f t="shared" si="1"/>
        <v>-17054.629999999997</v>
      </c>
      <c r="P16" s="694">
        <f t="shared" si="2"/>
        <v>-0.67059727901855914</v>
      </c>
      <c r="T16" s="47" t="str">
        <f t="shared" si="0"/>
        <v>Fundraising Event</v>
      </c>
      <c r="U16" s="151">
        <v>8500</v>
      </c>
    </row>
    <row r="17" spans="1:21" s="44" customFormat="1" ht="20.25" x14ac:dyDescent="0.2">
      <c r="A17" s="43"/>
      <c r="B17" s="43"/>
      <c r="C17" s="47" t="s">
        <v>209</v>
      </c>
      <c r="D17" s="47"/>
      <c r="E17" s="47"/>
      <c r="F17" s="43"/>
      <c r="G17" s="151">
        <v>31459</v>
      </c>
      <c r="H17" s="151">
        <v>13920.35</v>
      </c>
      <c r="I17" s="151"/>
      <c r="J17" s="151" t="e">
        <f>'February''25 Revenues &amp; Expenses'!#REF!</f>
        <v>#REF!</v>
      </c>
      <c r="K17" s="151">
        <v>27500</v>
      </c>
      <c r="L17" s="151"/>
      <c r="M17" s="151">
        <v>22757</v>
      </c>
      <c r="O17" s="337" t="e">
        <f t="shared" si="1"/>
        <v>#REF!</v>
      </c>
      <c r="P17" s="694" t="e">
        <f t="shared" si="2"/>
        <v>#REF!</v>
      </c>
      <c r="T17" s="47" t="str">
        <f t="shared" si="0"/>
        <v>Foundation Revenue-FCH-Sharon/Ancram/Copake</v>
      </c>
      <c r="U17" s="151">
        <v>25000</v>
      </c>
    </row>
    <row r="18" spans="1:21" s="44" customFormat="1" ht="20.25" x14ac:dyDescent="0.2">
      <c r="A18" s="43"/>
      <c r="B18" s="43"/>
      <c r="C18" s="47" t="s">
        <v>362</v>
      </c>
      <c r="D18" s="47"/>
      <c r="E18" s="47"/>
      <c r="F18" s="43"/>
      <c r="G18" s="151"/>
      <c r="H18" s="151"/>
      <c r="I18" s="151"/>
      <c r="J18" s="151">
        <v>47861.39</v>
      </c>
      <c r="K18" s="151">
        <v>23872</v>
      </c>
      <c r="L18" s="151"/>
      <c r="M18" s="151">
        <v>18492</v>
      </c>
      <c r="O18" s="337">
        <f t="shared" si="1"/>
        <v>23989.39</v>
      </c>
      <c r="P18" s="694">
        <f t="shared" si="2"/>
        <v>1.0049174765415549</v>
      </c>
      <c r="T18" s="47" t="str">
        <f t="shared" si="0"/>
        <v>Foundation Revenue-Dyson Foundation</v>
      </c>
      <c r="U18" s="151">
        <f>55000*(J18/65000)</f>
        <v>40498.099230769229</v>
      </c>
    </row>
    <row r="19" spans="1:21" s="44" customFormat="1" ht="20.25" x14ac:dyDescent="0.2">
      <c r="A19" s="43"/>
      <c r="B19" s="43"/>
      <c r="C19" s="47" t="s">
        <v>374</v>
      </c>
      <c r="D19" s="47"/>
      <c r="E19" s="47"/>
      <c r="F19" s="43"/>
      <c r="G19" s="151"/>
      <c r="H19" s="151"/>
      <c r="I19" s="151"/>
      <c r="J19" s="151">
        <v>0</v>
      </c>
      <c r="K19" s="151">
        <v>50000</v>
      </c>
      <c r="L19" s="151"/>
      <c r="M19" s="151">
        <v>41667</v>
      </c>
      <c r="O19" s="337">
        <f t="shared" si="1"/>
        <v>-50000</v>
      </c>
      <c r="P19" s="694">
        <f t="shared" si="2"/>
        <v>-1</v>
      </c>
      <c r="T19" s="47" t="str">
        <f t="shared" si="0"/>
        <v>Foundation Revenue-RipVan Winkle Foundation</v>
      </c>
      <c r="U19" s="151"/>
    </row>
    <row r="20" spans="1:21" s="44" customFormat="1" ht="20.25" x14ac:dyDescent="0.2">
      <c r="A20" s="43"/>
      <c r="B20" s="43"/>
      <c r="C20" s="47" t="s">
        <v>522</v>
      </c>
      <c r="D20" s="47"/>
      <c r="E20" s="47"/>
      <c r="F20" s="43"/>
      <c r="G20" s="151"/>
      <c r="H20" s="151"/>
      <c r="I20" s="151"/>
      <c r="J20" s="151">
        <f>50000/12*12</f>
        <v>50000</v>
      </c>
      <c r="K20" s="151">
        <v>50000</v>
      </c>
      <c r="L20" s="151"/>
      <c r="M20" s="151">
        <v>35714</v>
      </c>
      <c r="O20" s="337">
        <f t="shared" si="1"/>
        <v>0</v>
      </c>
      <c r="P20" s="694">
        <f t="shared" si="2"/>
        <v>0</v>
      </c>
      <c r="T20" s="47" t="str">
        <f t="shared" si="0"/>
        <v>Foundation Revenue-The Home for the Aged</v>
      </c>
    </row>
    <row r="21" spans="1:21" s="44" customFormat="1" ht="20.25" x14ac:dyDescent="0.2">
      <c r="A21" s="43"/>
      <c r="B21" s="43"/>
      <c r="C21" s="47" t="s">
        <v>579</v>
      </c>
      <c r="D21" s="47"/>
      <c r="E21" s="47"/>
      <c r="F21" s="43"/>
      <c r="G21" s="151"/>
      <c r="H21" s="151"/>
      <c r="I21" s="151"/>
      <c r="J21" s="151">
        <f>'February''25 Revenues &amp; Expenses'!I40</f>
        <v>125000</v>
      </c>
      <c r="K21" s="151">
        <v>0</v>
      </c>
      <c r="L21" s="151"/>
      <c r="M21" s="151"/>
      <c r="O21" s="337">
        <f t="shared" si="1"/>
        <v>125000</v>
      </c>
      <c r="P21" s="694">
        <v>1</v>
      </c>
      <c r="T21" s="47" t="str">
        <f t="shared" si="0"/>
        <v xml:space="preserve">Foundation Revenue-Mother Cabrini </v>
      </c>
      <c r="U21" s="151">
        <v>125000</v>
      </c>
    </row>
    <row r="22" spans="1:21" s="44" customFormat="1" ht="20.25" x14ac:dyDescent="0.2">
      <c r="A22" s="43"/>
      <c r="B22" s="43"/>
      <c r="C22" s="47" t="s">
        <v>627</v>
      </c>
      <c r="D22" s="47"/>
      <c r="E22" s="47"/>
      <c r="F22" s="43"/>
      <c r="G22" s="151"/>
      <c r="H22" s="151"/>
      <c r="I22" s="151"/>
      <c r="J22" s="151">
        <f>'February''25 Revenues &amp; Expenses'!I42</f>
        <v>4166.66</v>
      </c>
      <c r="K22" s="151">
        <v>0</v>
      </c>
      <c r="L22" s="151"/>
      <c r="M22" s="151"/>
      <c r="O22" s="337">
        <f t="shared" si="1"/>
        <v>4166.66</v>
      </c>
      <c r="P22" s="694">
        <v>1</v>
      </c>
      <c r="T22" s="47" t="str">
        <f t="shared" si="0"/>
        <v>Foundation Revenue-Hudson River Bank &amp; Trust</v>
      </c>
      <c r="U22" s="151">
        <f>'February''25 Revenues &amp; Expenses'!J42+('February''25 Revenues &amp; Expenses'!J43*3/12)</f>
        <v>20833.34</v>
      </c>
    </row>
    <row r="23" spans="1:21" s="44" customFormat="1" ht="20.25" x14ac:dyDescent="0.2">
      <c r="A23" s="43"/>
      <c r="B23" s="43"/>
      <c r="C23" s="47" t="s">
        <v>321</v>
      </c>
      <c r="D23" s="47"/>
      <c r="E23" s="47"/>
      <c r="F23" s="43"/>
      <c r="G23" s="151"/>
      <c r="H23" s="151"/>
      <c r="I23" s="151"/>
      <c r="J23" s="151">
        <v>120</v>
      </c>
      <c r="K23" s="151">
        <v>150</v>
      </c>
      <c r="L23" s="151"/>
      <c r="M23" s="151">
        <v>90</v>
      </c>
      <c r="O23" s="337">
        <f>J23-K23</f>
        <v>-30</v>
      </c>
      <c r="P23" s="694">
        <f>(J23-K23)/K23</f>
        <v>-0.2</v>
      </c>
      <c r="T23" s="47" t="str">
        <f t="shared" si="0"/>
        <v>Columbia Memorial Hospital</v>
      </c>
      <c r="U23" s="151">
        <v>100</v>
      </c>
    </row>
    <row r="24" spans="1:21" s="44" customFormat="1" ht="20.25" customHeight="1" x14ac:dyDescent="0.2">
      <c r="A24" s="43"/>
      <c r="B24" s="43"/>
      <c r="C24" s="792" t="s">
        <v>523</v>
      </c>
      <c r="D24" s="792"/>
      <c r="E24" s="792"/>
      <c r="F24" s="792"/>
      <c r="G24" s="151"/>
      <c r="H24" s="151"/>
      <c r="I24" s="151"/>
      <c r="J24" s="151">
        <v>0</v>
      </c>
      <c r="K24" s="151">
        <v>940</v>
      </c>
      <c r="L24" s="151"/>
      <c r="M24" s="151">
        <v>940</v>
      </c>
      <c r="O24" s="337">
        <f>J24-K24</f>
        <v>-940</v>
      </c>
      <c r="P24" s="694">
        <f>(J24-K24)/K24</f>
        <v>-1</v>
      </c>
      <c r="T24" s="47" t="str">
        <f t="shared" si="0"/>
        <v>Greene County - Dept Human Services</v>
      </c>
      <c r="U24" s="151"/>
    </row>
    <row r="25" spans="1:21" s="44" customFormat="1" ht="20.25" x14ac:dyDescent="0.2">
      <c r="A25" s="43"/>
      <c r="B25" s="43"/>
      <c r="C25" s="47" t="s">
        <v>328</v>
      </c>
      <c r="D25" s="47"/>
      <c r="E25" s="47"/>
      <c r="F25" s="43"/>
      <c r="G25" s="151">
        <v>1125</v>
      </c>
      <c r="H25" s="151">
        <v>6050</v>
      </c>
      <c r="I25" s="151"/>
      <c r="J25" s="151">
        <v>0</v>
      </c>
      <c r="K25" s="151">
        <v>0</v>
      </c>
      <c r="L25" s="151"/>
      <c r="M25" s="151">
        <v>0</v>
      </c>
      <c r="O25" s="337">
        <f t="shared" ref="O25:O28" si="3">J25-M25</f>
        <v>0</v>
      </c>
      <c r="P25" s="694"/>
      <c r="T25" s="47" t="str">
        <f t="shared" si="0"/>
        <v>Gain (Loss) on Sale of Vehicle</v>
      </c>
      <c r="U25" s="151"/>
    </row>
    <row r="26" spans="1:21" s="44" customFormat="1" ht="21" thickBot="1" x14ac:dyDescent="0.25">
      <c r="A26" s="43"/>
      <c r="B26" s="43"/>
      <c r="C26" s="47" t="s">
        <v>210</v>
      </c>
      <c r="D26" s="47"/>
      <c r="E26" s="47"/>
      <c r="F26" s="43"/>
      <c r="G26" s="158">
        <v>31250</v>
      </c>
      <c r="H26" s="158">
        <v>15624.98</v>
      </c>
      <c r="I26" s="151"/>
      <c r="J26" s="158">
        <f>'February''25 State of Activities'!G26*0.2</f>
        <v>1758</v>
      </c>
      <c r="K26" s="158">
        <f>'[3]December''21 State of Activities'!H26*0.2</f>
        <v>10548</v>
      </c>
      <c r="L26" s="151"/>
      <c r="M26" s="158">
        <f>'February''25 State of Activities'!J26*0.2</f>
        <v>1758</v>
      </c>
      <c r="O26" s="158">
        <f>J26-K26</f>
        <v>-8790</v>
      </c>
      <c r="P26" s="696">
        <f>(J26-K26)/K26</f>
        <v>-0.83333333333333337</v>
      </c>
      <c r="T26" s="47" t="str">
        <f t="shared" si="0"/>
        <v>In-Kind Rent - Columbia County (20%)</v>
      </c>
      <c r="U26" s="158">
        <f>K26</f>
        <v>10548</v>
      </c>
    </row>
    <row r="27" spans="1:21" s="44" customFormat="1" ht="20.25" x14ac:dyDescent="0.2">
      <c r="A27" s="43"/>
      <c r="B27" s="43"/>
      <c r="C27" s="47"/>
      <c r="D27" s="43" t="s">
        <v>101</v>
      </c>
      <c r="E27" s="47"/>
      <c r="F27" s="43"/>
      <c r="G27" s="151">
        <v>1161224.25</v>
      </c>
      <c r="H27" s="151">
        <v>516293.30999999994</v>
      </c>
      <c r="I27" s="151"/>
      <c r="J27" s="151" t="e">
        <f>SUM(J9:J26)</f>
        <v>#REF!</v>
      </c>
      <c r="K27" s="151">
        <f>SUM(K9:K26)</f>
        <v>488892</v>
      </c>
      <c r="L27" s="151"/>
      <c r="M27" s="151">
        <f>SUM(M9:M26)</f>
        <v>319561.53000000003</v>
      </c>
      <c r="O27" s="182" t="e">
        <f>J27-K27</f>
        <v>#REF!</v>
      </c>
      <c r="P27" s="694" t="e">
        <f>(J27-K27)/K27</f>
        <v>#REF!</v>
      </c>
      <c r="T27" s="724" t="s">
        <v>101</v>
      </c>
      <c r="U27" s="151">
        <f>SUM(U9:U26)</f>
        <v>476538.93923076923</v>
      </c>
    </row>
    <row r="28" spans="1:21" s="44" customFormat="1" ht="21" thickBot="1" x14ac:dyDescent="0.25">
      <c r="A28" s="43"/>
      <c r="B28" s="43"/>
      <c r="C28" s="43" t="s">
        <v>211</v>
      </c>
      <c r="D28" s="47"/>
      <c r="E28" s="47"/>
      <c r="F28" s="43"/>
      <c r="G28" s="158">
        <v>150176</v>
      </c>
      <c r="H28" s="158">
        <v>47700.27</v>
      </c>
      <c r="I28" s="151"/>
      <c r="J28" s="151">
        <f>21000/12*12</f>
        <v>21000</v>
      </c>
      <c r="K28" s="151">
        <v>21000</v>
      </c>
      <c r="L28" s="151"/>
      <c r="M28" s="151">
        <f>J28</f>
        <v>21000</v>
      </c>
      <c r="O28" s="337">
        <f t="shared" si="3"/>
        <v>0</v>
      </c>
      <c r="P28" s="694">
        <f>(J28-K28)/K28</f>
        <v>0</v>
      </c>
      <c r="T28" s="43" t="str">
        <f t="shared" si="0"/>
        <v>Assets Released from Restrictions-CC Depts.</v>
      </c>
      <c r="U28" s="151">
        <f>J28</f>
        <v>21000</v>
      </c>
    </row>
    <row r="29" spans="1:21" s="44" customFormat="1" ht="21" thickBot="1" x14ac:dyDescent="0.25">
      <c r="A29" s="43"/>
      <c r="B29" s="43"/>
      <c r="C29" s="43" t="s">
        <v>212</v>
      </c>
      <c r="D29" s="47"/>
      <c r="E29" s="47"/>
      <c r="F29" s="43"/>
      <c r="G29" s="151"/>
      <c r="H29" s="151"/>
      <c r="I29" s="151"/>
      <c r="J29" s="158">
        <v>23849</v>
      </c>
      <c r="K29" s="158">
        <v>33956</v>
      </c>
      <c r="L29" s="151"/>
      <c r="M29" s="158">
        <v>27862</v>
      </c>
      <c r="O29" s="158">
        <f>J29-K29</f>
        <v>-10107</v>
      </c>
      <c r="P29" s="696">
        <f>(J29-K29)/K29</f>
        <v>-0.29764989987042056</v>
      </c>
      <c r="T29" s="43" t="str">
        <f t="shared" si="0"/>
        <v>Assets Released from Restrictions-Columbia Cty</v>
      </c>
      <c r="U29" s="158">
        <v>22000</v>
      </c>
    </row>
    <row r="30" spans="1:21" s="44" customFormat="1" ht="20.25" x14ac:dyDescent="0.2">
      <c r="A30" s="43"/>
      <c r="B30" s="43"/>
      <c r="C30" s="47"/>
      <c r="D30" s="43" t="s">
        <v>103</v>
      </c>
      <c r="E30" s="47"/>
      <c r="F30" s="43"/>
      <c r="G30" s="151">
        <v>1311400.25</v>
      </c>
      <c r="H30" s="151">
        <v>563993.57999999996</v>
      </c>
      <c r="I30" s="151"/>
      <c r="J30" s="151" t="e">
        <f>SUM(J27:J29)</f>
        <v>#REF!</v>
      </c>
      <c r="K30" s="151">
        <f>SUM(K27:K29)</f>
        <v>543848</v>
      </c>
      <c r="L30" s="151"/>
      <c r="M30" s="151">
        <f>SUM(M27:M29)</f>
        <v>368423.53</v>
      </c>
      <c r="O30" s="182" t="e">
        <f>J30-K30</f>
        <v>#REF!</v>
      </c>
      <c r="P30" s="694" t="e">
        <f>(J30-K30)/K30</f>
        <v>#REF!</v>
      </c>
      <c r="T30" s="724" t="s">
        <v>103</v>
      </c>
      <c r="U30" s="151">
        <f>SUM(U27:U29)</f>
        <v>519538.93923076923</v>
      </c>
    </row>
    <row r="31" spans="1:21" s="44" customFormat="1" ht="20.25" x14ac:dyDescent="0.2">
      <c r="A31" s="43"/>
      <c r="B31" s="43"/>
      <c r="C31" s="47"/>
      <c r="D31" s="43"/>
      <c r="E31" s="47"/>
      <c r="F31" s="43"/>
      <c r="G31" s="151"/>
      <c r="H31" s="151"/>
      <c r="I31" s="151"/>
      <c r="J31" s="151"/>
      <c r="K31" s="406"/>
      <c r="L31" s="151"/>
      <c r="M31" s="151"/>
      <c r="P31" s="39"/>
      <c r="T31" s="47"/>
      <c r="U31" s="151"/>
    </row>
    <row r="32" spans="1:21" s="44" customFormat="1" ht="21" thickBot="1" x14ac:dyDescent="0.25">
      <c r="A32" s="43"/>
      <c r="B32" s="55" t="s">
        <v>107</v>
      </c>
      <c r="C32" s="55"/>
      <c r="D32" s="55"/>
      <c r="E32" s="55"/>
      <c r="F32" s="55"/>
      <c r="G32" s="158"/>
      <c r="J32" s="151"/>
      <c r="P32" s="39"/>
      <c r="S32" s="55" t="s">
        <v>107</v>
      </c>
      <c r="T32" s="55"/>
      <c r="U32" s="151"/>
    </row>
    <row r="33" spans="1:21" s="44" customFormat="1" ht="20.25" x14ac:dyDescent="0.2">
      <c r="A33" s="43"/>
      <c r="B33" s="43"/>
      <c r="C33" s="47" t="s">
        <v>213</v>
      </c>
      <c r="D33" s="47"/>
      <c r="E33" s="47"/>
      <c r="F33" s="47"/>
      <c r="G33" s="151">
        <v>733747.79999999993</v>
      </c>
      <c r="H33" s="182">
        <v>361976</v>
      </c>
      <c r="I33" s="182"/>
      <c r="J33" s="151"/>
      <c r="K33" s="182"/>
      <c r="L33" s="182"/>
      <c r="M33" s="182"/>
      <c r="P33" s="39"/>
      <c r="T33" s="47" t="str">
        <f t="shared" si="0"/>
        <v>Salaries and Payroll Taxes &amp; Fringe</v>
      </c>
      <c r="U33" s="151"/>
    </row>
    <row r="34" spans="1:21" s="44" customFormat="1" ht="20.25" x14ac:dyDescent="0.2">
      <c r="A34" s="43"/>
      <c r="B34" s="43"/>
      <c r="C34" s="47"/>
      <c r="D34" s="792" t="s">
        <v>214</v>
      </c>
      <c r="E34" s="792"/>
      <c r="F34" s="792"/>
      <c r="G34" s="151"/>
      <c r="H34" s="182"/>
      <c r="I34" s="182"/>
      <c r="J34" s="151">
        <v>237849.39</v>
      </c>
      <c r="K34" s="151">
        <v>227733.03</v>
      </c>
      <c r="L34" s="182"/>
      <c r="M34" s="151">
        <v>192858.9</v>
      </c>
      <c r="O34" s="337">
        <f t="shared" ref="O34:O55" si="4">J34-K34</f>
        <v>10116.360000000015</v>
      </c>
      <c r="P34" s="694">
        <f t="shared" ref="P34:P57" si="5">(J34-K34)/K34</f>
        <v>4.442201467218003E-2</v>
      </c>
      <c r="T34" s="702" t="s">
        <v>214</v>
      </c>
      <c r="U34" s="151">
        <f>240651</f>
        <v>240651</v>
      </c>
    </row>
    <row r="35" spans="1:21" s="44" customFormat="1" ht="20.25" x14ac:dyDescent="0.2">
      <c r="A35" s="43"/>
      <c r="B35" s="43"/>
      <c r="C35" s="47"/>
      <c r="D35" s="792" t="s">
        <v>215</v>
      </c>
      <c r="E35" s="792"/>
      <c r="F35" s="792"/>
      <c r="G35" s="151"/>
      <c r="H35" s="182"/>
      <c r="I35" s="182"/>
      <c r="J35" s="151">
        <f>54998.14+52848.91</f>
        <v>107847.05</v>
      </c>
      <c r="K35" s="151">
        <f>49366.82+33409.92</f>
        <v>82776.739999999991</v>
      </c>
      <c r="L35" s="182"/>
      <c r="M35" s="151">
        <f>40907.78+26517.32</f>
        <v>67425.100000000006</v>
      </c>
      <c r="O35" s="337">
        <f t="shared" si="4"/>
        <v>25070.310000000012</v>
      </c>
      <c r="P35" s="694">
        <f t="shared" si="5"/>
        <v>0.30286660238129715</v>
      </c>
      <c r="T35" s="702" t="s">
        <v>674</v>
      </c>
      <c r="U35" s="151">
        <v>110000</v>
      </c>
    </row>
    <row r="36" spans="1:21" s="44" customFormat="1" ht="20.25" x14ac:dyDescent="0.2">
      <c r="A36" s="43"/>
      <c r="B36" s="43"/>
      <c r="C36" s="47"/>
      <c r="D36" s="792" t="s">
        <v>109</v>
      </c>
      <c r="E36" s="792"/>
      <c r="F36" s="792"/>
      <c r="G36" s="151"/>
      <c r="H36" s="182"/>
      <c r="I36" s="182"/>
      <c r="J36" s="151">
        <v>65845.509999999995</v>
      </c>
      <c r="K36" s="151">
        <v>55442.07</v>
      </c>
      <c r="L36" s="182"/>
      <c r="M36" s="151">
        <f>M34*0.213+M35*0.14</f>
        <v>50518.459699999999</v>
      </c>
      <c r="O36" s="337">
        <f t="shared" si="4"/>
        <v>10403.439999999995</v>
      </c>
      <c r="P36" s="694">
        <f t="shared" si="5"/>
        <v>0.18764523041798395</v>
      </c>
      <c r="R36" s="719"/>
      <c r="T36" s="702" t="s">
        <v>109</v>
      </c>
      <c r="U36" s="151">
        <f>0.19*SUM(U34:U35)</f>
        <v>66623.69</v>
      </c>
    </row>
    <row r="37" spans="1:21" s="44" customFormat="1" ht="20.25" x14ac:dyDescent="0.2">
      <c r="A37" s="43"/>
      <c r="B37" s="43"/>
      <c r="C37" s="47" t="s">
        <v>268</v>
      </c>
      <c r="D37" s="47"/>
      <c r="E37" s="47"/>
      <c r="F37" s="47"/>
      <c r="G37" s="151">
        <v>44745.18</v>
      </c>
      <c r="H37" s="151">
        <v>20974.21</v>
      </c>
      <c r="I37" s="151"/>
      <c r="J37" s="500"/>
      <c r="K37" s="500"/>
      <c r="L37" s="500"/>
      <c r="M37" s="500"/>
      <c r="O37" s="337">
        <f t="shared" si="4"/>
        <v>0</v>
      </c>
      <c r="P37" s="694"/>
      <c r="T37" s="47" t="str">
        <f t="shared" si="0"/>
        <v xml:space="preserve">Transportation Services </v>
      </c>
      <c r="U37" s="500"/>
    </row>
    <row r="38" spans="1:21" s="44" customFormat="1" ht="20.25" x14ac:dyDescent="0.2">
      <c r="A38" s="43"/>
      <c r="B38" s="43"/>
      <c r="C38" s="47"/>
      <c r="D38" s="792" t="s">
        <v>216</v>
      </c>
      <c r="E38" s="792"/>
      <c r="F38" s="792"/>
      <c r="G38" s="151"/>
      <c r="H38" s="151"/>
      <c r="I38" s="151"/>
      <c r="J38" s="151">
        <v>30153.51</v>
      </c>
      <c r="K38" s="151">
        <v>31525.11</v>
      </c>
      <c r="L38" s="151"/>
      <c r="M38" s="151">
        <v>27258.59</v>
      </c>
      <c r="O38" s="337">
        <f t="shared" si="4"/>
        <v>-1371.6000000000022</v>
      </c>
      <c r="P38" s="694">
        <f t="shared" si="5"/>
        <v>-4.3508174911998793E-2</v>
      </c>
      <c r="T38" s="702" t="s">
        <v>675</v>
      </c>
      <c r="U38" s="151">
        <f>AVERAGE(J38:K38)</f>
        <v>30839.309999999998</v>
      </c>
    </row>
    <row r="39" spans="1:21" s="44" customFormat="1" ht="20.25" x14ac:dyDescent="0.2">
      <c r="A39" s="43"/>
      <c r="B39" s="43"/>
      <c r="C39" s="47"/>
      <c r="D39" s="792" t="s">
        <v>217</v>
      </c>
      <c r="E39" s="792"/>
      <c r="F39" s="792"/>
      <c r="G39" s="151"/>
      <c r="H39" s="151"/>
      <c r="I39" s="151"/>
      <c r="J39" s="151">
        <v>14326.95</v>
      </c>
      <c r="K39" s="151">
        <v>13289.95</v>
      </c>
      <c r="L39" s="151"/>
      <c r="M39" s="151">
        <v>11427.11</v>
      </c>
      <c r="O39" s="337">
        <f t="shared" si="4"/>
        <v>1037</v>
      </c>
      <c r="P39" s="694">
        <f t="shared" si="5"/>
        <v>7.8028886489414931E-2</v>
      </c>
      <c r="T39" s="702" t="s">
        <v>217</v>
      </c>
      <c r="U39" s="151">
        <v>18807</v>
      </c>
    </row>
    <row r="40" spans="1:21" s="44" customFormat="1" ht="20.25" x14ac:dyDescent="0.2">
      <c r="A40" s="43"/>
      <c r="B40" s="43"/>
      <c r="C40" s="47"/>
      <c r="D40" s="792" t="s">
        <v>293</v>
      </c>
      <c r="E40" s="792"/>
      <c r="F40" s="792"/>
      <c r="G40" s="151"/>
      <c r="H40" s="151"/>
      <c r="I40" s="151"/>
      <c r="J40" s="151">
        <v>17563.82</v>
      </c>
      <c r="K40" s="151">
        <v>15327.6</v>
      </c>
      <c r="L40" s="151"/>
      <c r="M40" s="151">
        <v>13203.2</v>
      </c>
      <c r="O40" s="337">
        <f t="shared" si="4"/>
        <v>2236.2199999999993</v>
      </c>
      <c r="P40" s="694">
        <f t="shared" si="5"/>
        <v>0.14589498682115917</v>
      </c>
      <c r="T40" s="702" t="s">
        <v>293</v>
      </c>
      <c r="U40" s="151">
        <f>AVERAGE(J40:K40)</f>
        <v>16445.71</v>
      </c>
    </row>
    <row r="41" spans="1:21" s="44" customFormat="1" ht="20.25" x14ac:dyDescent="0.2">
      <c r="A41" s="43"/>
      <c r="B41" s="43"/>
      <c r="C41" s="47"/>
      <c r="D41" s="792" t="s">
        <v>218</v>
      </c>
      <c r="E41" s="792"/>
      <c r="F41" s="792"/>
      <c r="G41" s="151"/>
      <c r="H41" s="151"/>
      <c r="I41" s="151"/>
      <c r="J41" s="151">
        <v>629</v>
      </c>
      <c r="K41" s="151">
        <v>710.5</v>
      </c>
      <c r="L41" s="151"/>
      <c r="M41" s="151">
        <v>710.5</v>
      </c>
      <c r="O41" s="337">
        <f t="shared" si="4"/>
        <v>-81.5</v>
      </c>
      <c r="P41" s="694">
        <f t="shared" si="5"/>
        <v>-0.11470795214637579</v>
      </c>
      <c r="T41" s="702" t="s">
        <v>218</v>
      </c>
      <c r="U41" s="151">
        <f>AVERAGE(J41:K41)</f>
        <v>669.75</v>
      </c>
    </row>
    <row r="42" spans="1:21" s="44" customFormat="1" ht="20.25" x14ac:dyDescent="0.2">
      <c r="A42" s="43"/>
      <c r="B42" s="43"/>
      <c r="C42" s="47" t="s">
        <v>439</v>
      </c>
      <c r="D42" s="47"/>
      <c r="E42" s="47"/>
      <c r="F42" s="47"/>
      <c r="G42" s="151">
        <v>27200</v>
      </c>
      <c r="H42" s="151">
        <v>11327</v>
      </c>
      <c r="I42" s="151"/>
      <c r="J42" s="151">
        <f>49068-7752</f>
        <v>41316</v>
      </c>
      <c r="K42" s="151">
        <f>'February''25 State of Activities'!H53-6780</f>
        <v>42288</v>
      </c>
      <c r="L42" s="151"/>
      <c r="M42" s="151">
        <v>22747.5</v>
      </c>
      <c r="O42" s="337">
        <f t="shared" si="4"/>
        <v>-972</v>
      </c>
      <c r="P42" s="694">
        <f t="shared" si="5"/>
        <v>-2.2985244040862655E-2</v>
      </c>
      <c r="T42" s="47" t="str">
        <f t="shared" si="0"/>
        <v>Depreciation &amp; Amortization -Vehicles</v>
      </c>
      <c r="U42" s="151">
        <v>42000</v>
      </c>
    </row>
    <row r="43" spans="1:21" s="44" customFormat="1" ht="20.25" x14ac:dyDescent="0.2">
      <c r="A43" s="43"/>
      <c r="B43" s="43"/>
      <c r="C43" s="47" t="s">
        <v>100</v>
      </c>
      <c r="D43" s="47"/>
      <c r="E43" s="47"/>
      <c r="F43" s="47"/>
      <c r="G43" s="151">
        <v>150176</v>
      </c>
      <c r="H43" s="182">
        <v>47700.27</v>
      </c>
      <c r="I43" s="182"/>
      <c r="J43" s="151">
        <f>J26</f>
        <v>1758</v>
      </c>
      <c r="K43" s="151">
        <f>K26</f>
        <v>10548</v>
      </c>
      <c r="L43" s="182"/>
      <c r="M43" s="151">
        <f>M26</f>
        <v>1758</v>
      </c>
      <c r="O43" s="337">
        <f t="shared" si="4"/>
        <v>-8790</v>
      </c>
      <c r="P43" s="694">
        <f t="shared" si="5"/>
        <v>-0.83333333333333337</v>
      </c>
      <c r="T43" s="47" t="str">
        <f t="shared" si="0"/>
        <v>In-Kind Rent</v>
      </c>
      <c r="U43" s="151">
        <f>J43</f>
        <v>1758</v>
      </c>
    </row>
    <row r="44" spans="1:21" s="44" customFormat="1" ht="20.25" x14ac:dyDescent="0.2">
      <c r="A44" s="43"/>
      <c r="B44" s="43"/>
      <c r="C44" s="47" t="s">
        <v>301</v>
      </c>
      <c r="D44" s="47"/>
      <c r="E44" s="47"/>
      <c r="F44" s="47"/>
      <c r="G44" s="151"/>
      <c r="H44" s="182"/>
      <c r="I44" s="182"/>
      <c r="J44" s="337">
        <v>4816.6099999999997</v>
      </c>
      <c r="K44" s="151">
        <v>4527.62</v>
      </c>
      <c r="L44" s="182"/>
      <c r="M44" s="151">
        <v>3788.1</v>
      </c>
      <c r="O44" s="337">
        <f t="shared" si="4"/>
        <v>288.98999999999978</v>
      </c>
      <c r="P44" s="694">
        <f t="shared" si="5"/>
        <v>6.382823646860819E-2</v>
      </c>
      <c r="T44" s="47" t="str">
        <f t="shared" si="0"/>
        <v>Transportation Scheduling Software-RoutingBox</v>
      </c>
      <c r="U44" s="151">
        <f>AVERAGE(J44:K44)</f>
        <v>4672.1149999999998</v>
      </c>
    </row>
    <row r="45" spans="1:21" s="44" customFormat="1" ht="20.25" x14ac:dyDescent="0.2">
      <c r="A45" s="43"/>
      <c r="B45" s="43"/>
      <c r="C45" s="47" t="s">
        <v>510</v>
      </c>
      <c r="D45" s="47"/>
      <c r="E45" s="47"/>
      <c r="F45" s="47"/>
      <c r="G45" s="151"/>
      <c r="H45" s="182"/>
      <c r="I45" s="182"/>
      <c r="J45" s="337">
        <v>2033.5</v>
      </c>
      <c r="K45" s="151">
        <v>1937.6</v>
      </c>
      <c r="L45" s="182"/>
      <c r="M45" s="151">
        <v>1556.4</v>
      </c>
      <c r="O45" s="337">
        <f t="shared" si="4"/>
        <v>95.900000000000091</v>
      </c>
      <c r="P45" s="694">
        <f t="shared" si="5"/>
        <v>4.9494219653179239E-2</v>
      </c>
      <c r="T45" s="47" t="str">
        <f t="shared" si="0"/>
        <v>Transportation Billing Software-Kinetik</v>
      </c>
      <c r="U45" s="151">
        <f>AVERAGE(J45:K45)</f>
        <v>1985.55</v>
      </c>
    </row>
    <row r="46" spans="1:21" s="44" customFormat="1" ht="20.25" x14ac:dyDescent="0.2">
      <c r="A46" s="43"/>
      <c r="B46" s="43"/>
      <c r="C46" s="47" t="s">
        <v>220</v>
      </c>
      <c r="D46" s="47"/>
      <c r="E46" s="47"/>
      <c r="F46" s="47"/>
      <c r="G46" s="151"/>
      <c r="H46" s="182"/>
      <c r="I46" s="182"/>
      <c r="J46" s="151">
        <v>4011</v>
      </c>
      <c r="K46" s="151">
        <f>140+673</f>
        <v>813</v>
      </c>
      <c r="L46" s="182"/>
      <c r="M46" s="151">
        <f>140+673</f>
        <v>813</v>
      </c>
      <c r="O46" s="337">
        <f t="shared" si="4"/>
        <v>3198</v>
      </c>
      <c r="P46" s="694">
        <f t="shared" si="5"/>
        <v>3.9335793357933579</v>
      </c>
      <c r="T46" s="47" t="str">
        <f t="shared" si="0"/>
        <v>Audit</v>
      </c>
      <c r="U46" s="151">
        <v>4000</v>
      </c>
    </row>
    <row r="47" spans="1:21" s="44" customFormat="1" ht="20.25" x14ac:dyDescent="0.2">
      <c r="A47" s="43"/>
      <c r="B47" s="43"/>
      <c r="C47" s="47" t="s">
        <v>222</v>
      </c>
      <c r="D47" s="47"/>
      <c r="E47" s="47"/>
      <c r="F47" s="47"/>
      <c r="G47" s="151"/>
      <c r="H47" s="182"/>
      <c r="I47" s="182"/>
      <c r="J47" s="151">
        <v>7487</v>
      </c>
      <c r="K47" s="151">
        <v>5519.15</v>
      </c>
      <c r="L47" s="182"/>
      <c r="M47" s="151"/>
      <c r="O47" s="337">
        <f t="shared" si="4"/>
        <v>1967.8500000000004</v>
      </c>
      <c r="P47" s="694">
        <f t="shared" si="5"/>
        <v>0.35654946866818271</v>
      </c>
      <c r="T47" s="47" t="str">
        <f t="shared" si="0"/>
        <v>General Insurance</v>
      </c>
      <c r="U47" s="151">
        <v>8400</v>
      </c>
    </row>
    <row r="48" spans="1:21" s="44" customFormat="1" ht="20.25" x14ac:dyDescent="0.2">
      <c r="A48" s="43"/>
      <c r="B48" s="43"/>
      <c r="C48" s="47" t="s">
        <v>365</v>
      </c>
      <c r="D48" s="47"/>
      <c r="E48" s="47"/>
      <c r="F48" s="47"/>
      <c r="G48" s="151">
        <v>10993.12</v>
      </c>
      <c r="H48" s="182">
        <v>4904.57</v>
      </c>
      <c r="I48" s="182"/>
      <c r="J48" s="151">
        <f>1328.72+6448.19</f>
        <v>7776.91</v>
      </c>
      <c r="K48" s="151">
        <v>8336.2099999999991</v>
      </c>
      <c r="L48" s="182"/>
      <c r="M48" s="151">
        <v>6911.08</v>
      </c>
      <c r="O48" s="337">
        <f t="shared" si="4"/>
        <v>-559.29999999999927</v>
      </c>
      <c r="P48" s="694">
        <f t="shared" si="5"/>
        <v>-6.7092839551786645E-2</v>
      </c>
      <c r="T48" s="47" t="str">
        <f t="shared" si="0"/>
        <v>Telephone &amp; Internet</v>
      </c>
      <c r="U48" s="151">
        <f>AVERAGE(J48:K48)</f>
        <v>8056.5599999999995</v>
      </c>
    </row>
    <row r="49" spans="1:21" s="44" customFormat="1" ht="20.25" x14ac:dyDescent="0.2">
      <c r="A49" s="43"/>
      <c r="B49" s="43"/>
      <c r="C49" s="47" t="s">
        <v>221</v>
      </c>
      <c r="D49" s="47"/>
      <c r="E49" s="47"/>
      <c r="F49" s="47"/>
      <c r="G49" s="151">
        <v>10250.949999999999</v>
      </c>
      <c r="H49" s="182">
        <v>3982.99</v>
      </c>
      <c r="I49" s="182"/>
      <c r="J49" s="151">
        <f>212.42+735.38</f>
        <v>947.8</v>
      </c>
      <c r="K49" s="151">
        <f>759.4+755.78</f>
        <v>1515.1799999999998</v>
      </c>
      <c r="L49" s="182"/>
      <c r="M49" s="151">
        <v>570.36</v>
      </c>
      <c r="O49" s="337">
        <f t="shared" si="4"/>
        <v>-567.37999999999988</v>
      </c>
      <c r="P49" s="694">
        <f t="shared" si="5"/>
        <v>-0.37446376008131044</v>
      </c>
      <c r="T49" s="47" t="str">
        <f t="shared" si="0"/>
        <v>Office &amp; Program Supplies</v>
      </c>
      <c r="U49" s="151">
        <f>AVERAGE(J49:K49)</f>
        <v>1231.4899999999998</v>
      </c>
    </row>
    <row r="50" spans="1:21" s="44" customFormat="1" ht="20.25" x14ac:dyDescent="0.2">
      <c r="A50" s="43"/>
      <c r="B50" s="43"/>
      <c r="C50" s="47" t="s">
        <v>118</v>
      </c>
      <c r="D50" s="47"/>
      <c r="E50" s="47"/>
      <c r="F50" s="47"/>
      <c r="G50" s="151">
        <v>4412.53</v>
      </c>
      <c r="H50" s="183">
        <v>5667</v>
      </c>
      <c r="I50" s="183"/>
      <c r="J50" s="151">
        <v>7357.21</v>
      </c>
      <c r="K50" s="151">
        <v>6269.68</v>
      </c>
      <c r="L50" s="183"/>
      <c r="M50" s="151">
        <v>5818.33</v>
      </c>
      <c r="O50" s="337">
        <f t="shared" si="4"/>
        <v>1087.5299999999997</v>
      </c>
      <c r="P50" s="694">
        <f t="shared" si="5"/>
        <v>0.17345861351775524</v>
      </c>
      <c r="T50" s="47" t="str">
        <f t="shared" si="0"/>
        <v>Network/Computer/Website</v>
      </c>
      <c r="U50" s="151">
        <f>AVERAGE(J50:K50)</f>
        <v>6813.4449999999997</v>
      </c>
    </row>
    <row r="51" spans="1:21" s="44" customFormat="1" ht="20.25" x14ac:dyDescent="0.2">
      <c r="A51" s="43"/>
      <c r="B51" s="43"/>
      <c r="C51" s="47" t="s">
        <v>116</v>
      </c>
      <c r="D51" s="47"/>
      <c r="E51" s="47"/>
      <c r="F51" s="47"/>
      <c r="G51" s="151">
        <v>7901</v>
      </c>
      <c r="H51" s="182">
        <v>4149.6000000000004</v>
      </c>
      <c r="I51" s="182"/>
      <c r="J51" s="151">
        <f>1395.74</f>
        <v>1395.74</v>
      </c>
      <c r="K51" s="151">
        <v>667.73</v>
      </c>
      <c r="L51" s="182"/>
      <c r="M51" s="151">
        <v>487.36</v>
      </c>
      <c r="O51" s="337">
        <f t="shared" si="4"/>
        <v>728.01</v>
      </c>
      <c r="P51" s="694">
        <f t="shared" si="5"/>
        <v>1.0902760097644257</v>
      </c>
      <c r="T51" s="47" t="str">
        <f t="shared" si="0"/>
        <v>Printing and Copying</v>
      </c>
      <c r="U51" s="151">
        <f>AVERAGE(J51:K51)</f>
        <v>1031.7350000000001</v>
      </c>
    </row>
    <row r="52" spans="1:21" s="44" customFormat="1" ht="20.25" hidden="1" x14ac:dyDescent="0.2">
      <c r="A52" s="43"/>
      <c r="B52" s="43"/>
      <c r="C52" s="47" t="s">
        <v>222</v>
      </c>
      <c r="D52" s="47"/>
      <c r="E52" s="47"/>
      <c r="F52" s="47"/>
      <c r="G52" s="151"/>
      <c r="H52" s="182"/>
      <c r="I52" s="182"/>
      <c r="J52" s="151"/>
      <c r="K52" s="151"/>
      <c r="L52" s="182"/>
      <c r="M52" s="151"/>
      <c r="O52" s="337">
        <f t="shared" si="4"/>
        <v>0</v>
      </c>
      <c r="P52" s="694" t="e">
        <f t="shared" si="5"/>
        <v>#DIV/0!</v>
      </c>
      <c r="T52" s="47" t="str">
        <f t="shared" si="0"/>
        <v>General Insurance</v>
      </c>
      <c r="U52" s="151"/>
    </row>
    <row r="53" spans="1:21" s="44" customFormat="1" ht="20.25" x14ac:dyDescent="0.2">
      <c r="A53" s="47"/>
      <c r="B53" s="47"/>
      <c r="C53" s="47" t="s">
        <v>112</v>
      </c>
      <c r="D53" s="47"/>
      <c r="E53" s="47"/>
      <c r="F53" s="47"/>
      <c r="G53" s="151">
        <v>5428.37</v>
      </c>
      <c r="H53" s="182">
        <v>2024.52</v>
      </c>
      <c r="I53" s="182"/>
      <c r="J53" s="151">
        <f>328</f>
        <v>328</v>
      </c>
      <c r="K53" s="151">
        <v>374.36</v>
      </c>
      <c r="L53" s="182"/>
      <c r="M53" s="151">
        <v>350.51</v>
      </c>
      <c r="O53" s="337">
        <f t="shared" si="4"/>
        <v>-46.360000000000014</v>
      </c>
      <c r="P53" s="694">
        <f t="shared" si="5"/>
        <v>-0.12383801688214556</v>
      </c>
      <c r="T53" s="47" t="str">
        <f t="shared" si="0"/>
        <v>Postage</v>
      </c>
      <c r="U53" s="151">
        <f>AVERAGE(J53:K53)</f>
        <v>351.18</v>
      </c>
    </row>
    <row r="54" spans="1:21" s="44" customFormat="1" ht="20.25" x14ac:dyDescent="0.2">
      <c r="A54" s="47"/>
      <c r="B54" s="47"/>
      <c r="C54" s="47" t="s">
        <v>30</v>
      </c>
      <c r="D54" s="47"/>
      <c r="E54" s="47"/>
      <c r="F54" s="47"/>
      <c r="G54" s="151"/>
      <c r="H54" s="182"/>
      <c r="I54" s="182"/>
      <c r="J54" s="151">
        <v>7493.88</v>
      </c>
      <c r="K54" s="151">
        <f>'February''25 State of Activities'!H54</f>
        <v>7493.88</v>
      </c>
      <c r="L54" s="182"/>
      <c r="M54" s="151">
        <v>4442</v>
      </c>
      <c r="O54" s="337">
        <f t="shared" si="4"/>
        <v>0</v>
      </c>
      <c r="P54" s="694">
        <f t="shared" si="5"/>
        <v>0</v>
      </c>
      <c r="T54" s="47" t="str">
        <f t="shared" si="0"/>
        <v>Interest</v>
      </c>
      <c r="U54" s="151">
        <f>AVERAGE(J54:K54)</f>
        <v>7493.88</v>
      </c>
    </row>
    <row r="55" spans="1:21" s="44" customFormat="1" ht="20.25" x14ac:dyDescent="0.2">
      <c r="A55" s="47"/>
      <c r="B55" s="47"/>
      <c r="C55" s="47" t="s">
        <v>223</v>
      </c>
      <c r="D55" s="47"/>
      <c r="E55" s="47"/>
      <c r="F55" s="47"/>
      <c r="G55" s="151">
        <v>83462.91</v>
      </c>
      <c r="H55" s="151">
        <v>18995.71</v>
      </c>
      <c r="I55" s="151"/>
      <c r="J55" s="153">
        <f>20+189.68</f>
        <v>209.68</v>
      </c>
      <c r="K55" s="153">
        <f>17.65*2+79.5+114.85+409.5+320.68+105</f>
        <v>1064.83</v>
      </c>
      <c r="L55" s="151"/>
      <c r="M55" s="153">
        <f>17.65*2+79.5+105+409.5</f>
        <v>629.29999999999995</v>
      </c>
      <c r="O55" s="337">
        <f t="shared" si="4"/>
        <v>-855.14999999999986</v>
      </c>
      <c r="P55" s="697">
        <f t="shared" si="5"/>
        <v>-0.80308593860052768</v>
      </c>
      <c r="T55" s="47" t="str">
        <f t="shared" si="0"/>
        <v>Other Expenses</v>
      </c>
      <c r="U55" s="151">
        <f>AVERAGE(J55:K55)</f>
        <v>637.255</v>
      </c>
    </row>
    <row r="56" spans="1:21" s="44" customFormat="1" ht="21" thickBot="1" x14ac:dyDescent="0.25">
      <c r="A56" s="43"/>
      <c r="B56" s="43"/>
      <c r="C56" s="43"/>
      <c r="D56" s="43" t="s">
        <v>124</v>
      </c>
      <c r="E56" s="43"/>
      <c r="F56" s="43"/>
      <c r="G56" s="158">
        <v>1078317.8599999999</v>
      </c>
      <c r="H56" s="158">
        <v>481701.87000000005</v>
      </c>
      <c r="I56" s="151"/>
      <c r="J56" s="315">
        <f>SUM(J34:J55)</f>
        <v>561146.56000000017</v>
      </c>
      <c r="K56" s="315">
        <f>SUM(K34:K55)</f>
        <v>518160.24</v>
      </c>
      <c r="L56" s="151"/>
      <c r="M56" s="315">
        <f>SUM(M34:M55)</f>
        <v>413273.79970000003</v>
      </c>
      <c r="O56" s="315">
        <f>J56-K56</f>
        <v>42986.320000000182</v>
      </c>
      <c r="P56" s="694">
        <f t="shared" si="5"/>
        <v>8.2959510749030421E-2</v>
      </c>
      <c r="T56" s="725" t="s">
        <v>124</v>
      </c>
      <c r="U56" s="315">
        <f>SUM(U34:U55)</f>
        <v>572467.67000000004</v>
      </c>
    </row>
    <row r="57" spans="1:21" s="44" customFormat="1" ht="21" thickBot="1" x14ac:dyDescent="0.25">
      <c r="A57" s="43"/>
      <c r="B57" s="43"/>
      <c r="C57" s="43"/>
      <c r="D57" s="43" t="s">
        <v>125</v>
      </c>
      <c r="E57" s="43"/>
      <c r="F57" s="43"/>
      <c r="G57" s="158">
        <v>233082.39000000013</v>
      </c>
      <c r="H57" s="158">
        <v>82291.709999999905</v>
      </c>
      <c r="I57" s="151"/>
      <c r="J57" s="316" t="e">
        <f>J30-J56</f>
        <v>#REF!</v>
      </c>
      <c r="K57" s="316">
        <f>K30-K56</f>
        <v>25687.760000000009</v>
      </c>
      <c r="L57" s="151"/>
      <c r="M57" s="316">
        <f>M30-M56</f>
        <v>-44850.269700000004</v>
      </c>
      <c r="O57" s="260" t="e">
        <f>J57-K57</f>
        <v>#REF!</v>
      </c>
      <c r="P57" s="698" t="e">
        <f t="shared" si="5"/>
        <v>#REF!</v>
      </c>
      <c r="T57" s="725" t="s">
        <v>676</v>
      </c>
      <c r="U57" s="316">
        <f>U30-U56</f>
        <v>-52928.73076923081</v>
      </c>
    </row>
    <row r="58" spans="1:21" s="44" customFormat="1" ht="20.25" x14ac:dyDescent="0.2">
      <c r="A58" s="43"/>
      <c r="B58" s="43"/>
      <c r="C58" s="43"/>
      <c r="D58" s="43"/>
      <c r="E58" s="43"/>
      <c r="F58" s="43"/>
      <c r="G58" s="151"/>
      <c r="H58" s="151"/>
      <c r="I58" s="151"/>
      <c r="J58" s="151"/>
      <c r="K58" s="151"/>
      <c r="L58" s="151"/>
      <c r="M58" s="151"/>
      <c r="P58" s="39"/>
      <c r="T58" s="47"/>
      <c r="U58" s="151"/>
    </row>
    <row r="59" spans="1:21" s="41" customFormat="1" ht="26.25" x14ac:dyDescent="0.2">
      <c r="A59" s="176"/>
      <c r="B59" s="176"/>
      <c r="C59" s="47" t="s">
        <v>524</v>
      </c>
      <c r="E59" s="47"/>
      <c r="F59" s="47"/>
      <c r="G59" s="178"/>
      <c r="H59" s="151"/>
      <c r="I59" s="151"/>
      <c r="J59" s="151">
        <f>2293.4*12*-1</f>
        <v>-27520.800000000003</v>
      </c>
      <c r="K59" s="151">
        <v>-41210</v>
      </c>
      <c r="L59" s="151"/>
      <c r="M59" s="151">
        <v>-36394</v>
      </c>
      <c r="O59" s="182">
        <f>J59-K59</f>
        <v>13689.199999999997</v>
      </c>
      <c r="P59" s="275"/>
      <c r="T59" s="47" t="str">
        <f t="shared" si="0"/>
        <v>Less: Lease Payments</v>
      </c>
      <c r="U59" s="151">
        <f>2293.4*12*-1</f>
        <v>-27520.800000000003</v>
      </c>
    </row>
    <row r="60" spans="1:21" s="44" customFormat="1" ht="20.25" x14ac:dyDescent="0.2">
      <c r="A60" s="43"/>
      <c r="B60" s="43"/>
      <c r="C60" s="47" t="s">
        <v>428</v>
      </c>
      <c r="E60" s="43"/>
      <c r="G60" s="151"/>
      <c r="H60" s="151"/>
      <c r="I60" s="151"/>
      <c r="J60" s="151">
        <f>J42</f>
        <v>41316</v>
      </c>
      <c r="K60" s="151">
        <f>K42</f>
        <v>42288</v>
      </c>
      <c r="L60" s="151"/>
      <c r="M60" s="151">
        <f>M42</f>
        <v>22747.5</v>
      </c>
      <c r="O60" s="182">
        <f>J60-K60</f>
        <v>-972</v>
      </c>
      <c r="P60" s="697">
        <f t="shared" ref="P60" si="6">(J60-K60)/K60</f>
        <v>-2.2985244040862655E-2</v>
      </c>
      <c r="T60" s="47" t="str">
        <f t="shared" si="0"/>
        <v xml:space="preserve">Add Back Deprecation </v>
      </c>
      <c r="U60" s="151">
        <f>U42</f>
        <v>42000</v>
      </c>
    </row>
    <row r="61" spans="1:21" s="44" customFormat="1" ht="24" thickBot="1" x14ac:dyDescent="0.25">
      <c r="A61" s="43"/>
      <c r="B61" s="179"/>
      <c r="C61" s="43"/>
      <c r="D61" s="795" t="s">
        <v>225</v>
      </c>
      <c r="E61" s="795"/>
      <c r="F61" s="795"/>
      <c r="G61" s="151"/>
      <c r="H61" s="151"/>
      <c r="I61" s="151"/>
      <c r="J61" s="317" t="e">
        <f>J57+J59+J60</f>
        <v>#REF!</v>
      </c>
      <c r="K61" s="317">
        <f>K57+K59+K60</f>
        <v>26765.760000000009</v>
      </c>
      <c r="L61" s="160"/>
      <c r="M61" s="317">
        <f>M57+M59+M60</f>
        <v>-58496.769700000004</v>
      </c>
      <c r="N61" s="262"/>
      <c r="O61" s="314" t="e">
        <f>J61-K61</f>
        <v>#REF!</v>
      </c>
      <c r="P61" s="697" t="e">
        <f>-(J61-K61)/K61</f>
        <v>#REF!</v>
      </c>
      <c r="T61" s="726" t="s">
        <v>225</v>
      </c>
      <c r="U61" s="317">
        <f>U57+U59+U60</f>
        <v>-38449.530769230812</v>
      </c>
    </row>
    <row r="62" spans="1:21" s="44" customFormat="1" ht="42" customHeight="1" thickTop="1" x14ac:dyDescent="0.2">
      <c r="A62" s="43"/>
      <c r="B62" s="43"/>
      <c r="C62" s="43"/>
      <c r="D62" s="43"/>
      <c r="E62" s="43"/>
      <c r="F62" s="43"/>
      <c r="G62" s="151"/>
      <c r="H62" s="151"/>
      <c r="I62" s="151"/>
      <c r="J62" s="151"/>
      <c r="K62" s="151"/>
      <c r="L62" s="151"/>
      <c r="M62" s="151"/>
      <c r="P62" s="39"/>
      <c r="U62" s="151"/>
    </row>
    <row r="63" spans="1:21" s="44" customFormat="1" ht="20.25" x14ac:dyDescent="0.2">
      <c r="A63" s="47"/>
      <c r="B63" s="47"/>
      <c r="C63" s="47"/>
      <c r="D63" s="47"/>
      <c r="F63" s="47" t="s">
        <v>297</v>
      </c>
      <c r="G63" s="160"/>
      <c r="H63" s="151"/>
      <c r="I63" s="151"/>
      <c r="J63" s="151">
        <v>247516</v>
      </c>
      <c r="K63" s="151">
        <v>249119</v>
      </c>
      <c r="L63" s="151"/>
      <c r="M63" s="151">
        <v>211115</v>
      </c>
      <c r="O63" s="162"/>
      <c r="P63" s="39"/>
      <c r="T63" s="722" t="s">
        <v>297</v>
      </c>
      <c r="U63" s="151">
        <v>247516</v>
      </c>
    </row>
    <row r="64" spans="1:21" s="44" customFormat="1" ht="21" thickBot="1" x14ac:dyDescent="0.25">
      <c r="A64" s="47"/>
      <c r="B64" s="47"/>
      <c r="C64" s="47"/>
      <c r="D64" s="47"/>
      <c r="F64" s="47" t="s">
        <v>302</v>
      </c>
      <c r="G64" s="151"/>
      <c r="H64" s="151"/>
      <c r="I64" s="151"/>
      <c r="J64" s="411">
        <f>(J56-J42-J43)/J63</f>
        <v>2.0930871539617648</v>
      </c>
      <c r="K64" s="411">
        <f>(K56-K42-K43)/K63</f>
        <v>1.8678793668889164</v>
      </c>
      <c r="L64" s="412"/>
      <c r="M64" s="411">
        <f>(M56-M42-M43)/M63</f>
        <v>1.8415001288397321</v>
      </c>
      <c r="P64" s="39"/>
      <c r="T64" s="722" t="s">
        <v>302</v>
      </c>
      <c r="U64" s="411">
        <f>(U56-U42-U43)/U63</f>
        <v>2.1360625979734644</v>
      </c>
    </row>
    <row r="65" spans="1:21" s="44" customFormat="1" ht="20.25" x14ac:dyDescent="0.2">
      <c r="A65" s="47"/>
      <c r="B65" s="47"/>
      <c r="C65" s="47"/>
      <c r="D65" s="47"/>
      <c r="F65" s="47"/>
      <c r="G65" s="151"/>
      <c r="H65" s="151"/>
      <c r="I65" s="151"/>
      <c r="J65" s="151"/>
      <c r="K65" s="151"/>
      <c r="L65" s="151"/>
      <c r="M65" s="151"/>
      <c r="P65" s="39"/>
      <c r="T65" s="722"/>
      <c r="U65" s="151"/>
    </row>
    <row r="66" spans="1:21" s="44" customFormat="1" ht="20.25" x14ac:dyDescent="0.2">
      <c r="A66" s="47"/>
      <c r="B66" s="47"/>
      <c r="C66" s="47"/>
      <c r="D66" s="47"/>
      <c r="F66" s="47" t="s">
        <v>298</v>
      </c>
      <c r="G66" s="151"/>
      <c r="H66" s="151"/>
      <c r="I66" s="151"/>
      <c r="J66" s="151">
        <v>13394</v>
      </c>
      <c r="K66" s="151">
        <v>13026</v>
      </c>
      <c r="L66" s="151"/>
      <c r="M66" s="151">
        <v>10946</v>
      </c>
      <c r="P66" s="695"/>
      <c r="T66" s="722" t="s">
        <v>298</v>
      </c>
      <c r="U66" s="151">
        <v>13394</v>
      </c>
    </row>
    <row r="67" spans="1:21" s="44" customFormat="1" ht="21" thickBot="1" x14ac:dyDescent="0.25">
      <c r="A67" s="47"/>
      <c r="B67" s="47"/>
      <c r="C67" s="47"/>
      <c r="D67" s="47"/>
      <c r="F67" s="47" t="s">
        <v>355</v>
      </c>
      <c r="G67" s="151"/>
      <c r="H67" s="151"/>
      <c r="I67" s="151"/>
      <c r="J67" s="411">
        <f>(J56-J42-J43)/J66</f>
        <v>38.679450500223993</v>
      </c>
      <c r="K67" s="411">
        <f>(K56-K42-K43)/K66</f>
        <v>35.722726853984341</v>
      </c>
      <c r="L67" s="151"/>
      <c r="M67" s="411">
        <f>(M56-M42-M43)/M66</f>
        <v>35.516928530970219</v>
      </c>
      <c r="P67" s="39"/>
      <c r="T67" s="722" t="s">
        <v>355</v>
      </c>
      <c r="U67" s="411">
        <f>(U56-U42-U43)/U66</f>
        <v>39.473620277736302</v>
      </c>
    </row>
    <row r="68" spans="1:21" s="44" customFormat="1" ht="20.25" x14ac:dyDescent="0.2">
      <c r="A68" s="47"/>
      <c r="B68" s="47"/>
      <c r="C68" s="47"/>
      <c r="D68" s="47"/>
      <c r="F68" s="47"/>
      <c r="G68" s="151"/>
      <c r="H68" s="151"/>
      <c r="I68" s="151"/>
      <c r="J68" s="151"/>
      <c r="K68" s="151"/>
      <c r="L68" s="151"/>
      <c r="M68" s="151"/>
      <c r="P68" s="39"/>
      <c r="T68" s="722"/>
      <c r="U68" s="151"/>
    </row>
    <row r="69" spans="1:21" s="44" customFormat="1" ht="20.25" x14ac:dyDescent="0.2">
      <c r="A69" s="47"/>
      <c r="B69" s="47"/>
      <c r="C69" s="43"/>
      <c r="D69" s="47"/>
      <c r="F69" s="47" t="s">
        <v>299</v>
      </c>
      <c r="G69" s="151"/>
      <c r="H69" s="151"/>
      <c r="I69" s="151"/>
      <c r="J69" s="151">
        <v>6070</v>
      </c>
      <c r="K69" s="151">
        <v>4221</v>
      </c>
      <c r="L69" s="151"/>
      <c r="M69" s="151">
        <v>3452</v>
      </c>
      <c r="P69" s="39"/>
      <c r="T69" s="722" t="s">
        <v>299</v>
      </c>
      <c r="U69" s="151">
        <v>6070</v>
      </c>
    </row>
    <row r="70" spans="1:21" s="44" customFormat="1" ht="21" thickBot="1" x14ac:dyDescent="0.25">
      <c r="A70" s="47"/>
      <c r="B70" s="47"/>
      <c r="C70" s="47"/>
      <c r="D70" s="47"/>
      <c r="E70" s="47"/>
      <c r="F70" s="47" t="s">
        <v>356</v>
      </c>
      <c r="G70" s="151"/>
      <c r="H70" s="151"/>
      <c r="I70" s="151"/>
      <c r="J70" s="411">
        <f>J9/J69</f>
        <v>5.3542009884678752</v>
      </c>
      <c r="K70" s="411">
        <f>K9/K69</f>
        <v>44.491589670694147</v>
      </c>
      <c r="L70" s="151"/>
      <c r="M70" s="411">
        <f>M9/M69</f>
        <v>31.232039397450752</v>
      </c>
      <c r="P70" s="39"/>
      <c r="T70" s="722" t="s">
        <v>356</v>
      </c>
      <c r="U70" s="411">
        <f>U9/U69</f>
        <v>23.912602965403625</v>
      </c>
    </row>
    <row r="71" spans="1:21" s="44" customFormat="1" ht="20.25" x14ac:dyDescent="0.2">
      <c r="A71" s="47"/>
      <c r="B71" s="47"/>
      <c r="C71" s="43"/>
      <c r="D71" s="43"/>
      <c r="G71" s="151"/>
      <c r="H71" s="151"/>
      <c r="I71" s="151"/>
      <c r="J71" s="151"/>
      <c r="K71" s="151"/>
      <c r="L71" s="151"/>
      <c r="M71" s="151"/>
      <c r="P71" s="39"/>
      <c r="T71" s="723"/>
      <c r="U71" s="151"/>
    </row>
    <row r="72" spans="1:21" s="44" customFormat="1" ht="20.25" x14ac:dyDescent="0.2">
      <c r="A72" s="47"/>
      <c r="B72" s="47"/>
      <c r="C72" s="47"/>
      <c r="D72" s="47"/>
      <c r="E72" s="47"/>
      <c r="F72" s="47" t="s">
        <v>668</v>
      </c>
      <c r="G72" s="151"/>
      <c r="H72" s="151"/>
      <c r="I72" s="151"/>
      <c r="J72" s="700">
        <f>J63/J66</f>
        <v>18.479617739286248</v>
      </c>
      <c r="K72" s="151"/>
      <c r="L72" s="151"/>
      <c r="M72" s="151"/>
      <c r="P72" s="39"/>
      <c r="T72" s="722" t="s">
        <v>668</v>
      </c>
      <c r="U72" s="700">
        <f>U63/U66</f>
        <v>18.479617739286248</v>
      </c>
    </row>
  </sheetData>
  <mergeCells count="11">
    <mergeCell ref="D61:F61"/>
    <mergeCell ref="J6:M6"/>
    <mergeCell ref="O8:P8"/>
    <mergeCell ref="C24:F24"/>
    <mergeCell ref="D34:F34"/>
    <mergeCell ref="D35:F35"/>
    <mergeCell ref="D36:F36"/>
    <mergeCell ref="D38:F38"/>
    <mergeCell ref="D39:F39"/>
    <mergeCell ref="D40:F40"/>
    <mergeCell ref="D41:F41"/>
  </mergeCells>
  <pageMargins left="1.2" right="0.2" top="0.25" bottom="0.5" header="0.3" footer="0.3"/>
  <pageSetup scale="52" orientation="portrait" r:id="rId1"/>
  <headerFooter>
    <oddFooter>&amp;R&amp;9&amp;Z
&amp;F</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78"/>
  <sheetViews>
    <sheetView topLeftCell="A25" zoomScale="75" zoomScaleNormal="75" workbookViewId="0">
      <selection activeCell="M10" sqref="M10"/>
    </sheetView>
  </sheetViews>
  <sheetFormatPr defaultRowHeight="14.25" x14ac:dyDescent="0.2"/>
  <cols>
    <col min="1" max="1" width="2.875" style="34" customWidth="1"/>
    <col min="2" max="2" width="8.125" style="34" customWidth="1"/>
    <col min="3" max="3" width="8.75" style="34" customWidth="1"/>
    <col min="4" max="4" width="5.75" style="34" customWidth="1"/>
    <col min="5" max="5" width="2.875" style="34" customWidth="1"/>
    <col min="6" max="6" width="45.625" style="34" customWidth="1"/>
    <col min="7" max="7" width="22.25" style="148" hidden="1" customWidth="1"/>
    <col min="8" max="8" width="23.125" hidden="1" customWidth="1"/>
    <col min="9" max="9" width="1.625" customWidth="1"/>
    <col min="10" max="10" width="26.875" customWidth="1"/>
    <col min="11" max="11" width="24.5" customWidth="1"/>
    <col min="12" max="12" width="1.625" customWidth="1"/>
    <col min="13" max="13" width="23.125" customWidth="1"/>
    <col min="14" max="14" width="1.75" customWidth="1"/>
    <col min="15" max="15" width="19.75" bestFit="1" customWidth="1"/>
    <col min="16" max="16" width="15" customWidth="1"/>
    <col min="17" max="17" width="16.875" bestFit="1" customWidth="1"/>
    <col min="18" max="18" width="10" bestFit="1" customWidth="1"/>
    <col min="254" max="254" width="2.875" customWidth="1"/>
    <col min="255" max="255" width="8.125" customWidth="1"/>
    <col min="256" max="256" width="8.75" customWidth="1"/>
    <col min="257" max="257" width="11" customWidth="1"/>
    <col min="258" max="258" width="2.875" customWidth="1"/>
    <col min="259" max="259" width="77.625" customWidth="1"/>
    <col min="260" max="260" width="20.875" customWidth="1"/>
    <col min="510" max="510" width="2.875" customWidth="1"/>
    <col min="511" max="511" width="8.125" customWidth="1"/>
    <col min="512" max="512" width="8.75" customWidth="1"/>
    <col min="513" max="513" width="11" customWidth="1"/>
    <col min="514" max="514" width="2.875" customWidth="1"/>
    <col min="515" max="515" width="77.625" customWidth="1"/>
    <col min="516" max="516" width="20.875" customWidth="1"/>
    <col min="766" max="766" width="2.875" customWidth="1"/>
    <col min="767" max="767" width="8.125" customWidth="1"/>
    <col min="768" max="768" width="8.75" customWidth="1"/>
    <col min="769" max="769" width="11" customWidth="1"/>
    <col min="770" max="770" width="2.875" customWidth="1"/>
    <col min="771" max="771" width="77.625" customWidth="1"/>
    <col min="772" max="772" width="20.875" customWidth="1"/>
    <col min="1022" max="1022" width="2.875" customWidth="1"/>
    <col min="1023" max="1023" width="8.125" customWidth="1"/>
    <col min="1024" max="1024" width="8.75" customWidth="1"/>
    <col min="1025" max="1025" width="11" customWidth="1"/>
    <col min="1026" max="1026" width="2.875" customWidth="1"/>
    <col min="1027" max="1027" width="77.625" customWidth="1"/>
    <col min="1028" max="1028" width="20.875" customWidth="1"/>
    <col min="1278" max="1278" width="2.875" customWidth="1"/>
    <col min="1279" max="1279" width="8.125" customWidth="1"/>
    <col min="1280" max="1280" width="8.75" customWidth="1"/>
    <col min="1281" max="1281" width="11" customWidth="1"/>
    <col min="1282" max="1282" width="2.875" customWidth="1"/>
    <col min="1283" max="1283" width="77.625" customWidth="1"/>
    <col min="1284" max="1284" width="20.875" customWidth="1"/>
    <col min="1534" max="1534" width="2.875" customWidth="1"/>
    <col min="1535" max="1535" width="8.125" customWidth="1"/>
    <col min="1536" max="1536" width="8.75" customWidth="1"/>
    <col min="1537" max="1537" width="11" customWidth="1"/>
    <col min="1538" max="1538" width="2.875" customWidth="1"/>
    <col min="1539" max="1539" width="77.625" customWidth="1"/>
    <col min="1540" max="1540" width="20.875" customWidth="1"/>
    <col min="1790" max="1790" width="2.875" customWidth="1"/>
    <col min="1791" max="1791" width="8.125" customWidth="1"/>
    <col min="1792" max="1792" width="8.75" customWidth="1"/>
    <col min="1793" max="1793" width="11" customWidth="1"/>
    <col min="1794" max="1794" width="2.875" customWidth="1"/>
    <col min="1795" max="1795" width="77.625" customWidth="1"/>
    <col min="1796" max="1796" width="20.875" customWidth="1"/>
    <col min="2046" max="2046" width="2.875" customWidth="1"/>
    <col min="2047" max="2047" width="8.125" customWidth="1"/>
    <col min="2048" max="2048" width="8.75" customWidth="1"/>
    <col min="2049" max="2049" width="11" customWidth="1"/>
    <col min="2050" max="2050" width="2.875" customWidth="1"/>
    <col min="2051" max="2051" width="77.625" customWidth="1"/>
    <col min="2052" max="2052" width="20.875" customWidth="1"/>
    <col min="2302" max="2302" width="2.875" customWidth="1"/>
    <col min="2303" max="2303" width="8.125" customWidth="1"/>
    <col min="2304" max="2304" width="8.75" customWidth="1"/>
    <col min="2305" max="2305" width="11" customWidth="1"/>
    <col min="2306" max="2306" width="2.875" customWidth="1"/>
    <col min="2307" max="2307" width="77.625" customWidth="1"/>
    <col min="2308" max="2308" width="20.875" customWidth="1"/>
    <col min="2558" max="2558" width="2.875" customWidth="1"/>
    <col min="2559" max="2559" width="8.125" customWidth="1"/>
    <col min="2560" max="2560" width="8.75" customWidth="1"/>
    <col min="2561" max="2561" width="11" customWidth="1"/>
    <col min="2562" max="2562" width="2.875" customWidth="1"/>
    <col min="2563" max="2563" width="77.625" customWidth="1"/>
    <col min="2564" max="2564" width="20.875" customWidth="1"/>
    <col min="2814" max="2814" width="2.875" customWidth="1"/>
    <col min="2815" max="2815" width="8.125" customWidth="1"/>
    <col min="2816" max="2816" width="8.75" customWidth="1"/>
    <col min="2817" max="2817" width="11" customWidth="1"/>
    <col min="2818" max="2818" width="2.875" customWidth="1"/>
    <col min="2819" max="2819" width="77.625" customWidth="1"/>
    <col min="2820" max="2820" width="20.875" customWidth="1"/>
    <col min="3070" max="3070" width="2.875" customWidth="1"/>
    <col min="3071" max="3071" width="8.125" customWidth="1"/>
    <col min="3072" max="3072" width="8.75" customWidth="1"/>
    <col min="3073" max="3073" width="11" customWidth="1"/>
    <col min="3074" max="3074" width="2.875" customWidth="1"/>
    <col min="3075" max="3075" width="77.625" customWidth="1"/>
    <col min="3076" max="3076" width="20.875" customWidth="1"/>
    <col min="3326" max="3326" width="2.875" customWidth="1"/>
    <col min="3327" max="3327" width="8.125" customWidth="1"/>
    <col min="3328" max="3328" width="8.75" customWidth="1"/>
    <col min="3329" max="3329" width="11" customWidth="1"/>
    <col min="3330" max="3330" width="2.875" customWidth="1"/>
    <col min="3331" max="3331" width="77.625" customWidth="1"/>
    <col min="3332" max="3332" width="20.875" customWidth="1"/>
    <col min="3582" max="3582" width="2.875" customWidth="1"/>
    <col min="3583" max="3583" width="8.125" customWidth="1"/>
    <col min="3584" max="3584" width="8.75" customWidth="1"/>
    <col min="3585" max="3585" width="11" customWidth="1"/>
    <col min="3586" max="3586" width="2.875" customWidth="1"/>
    <col min="3587" max="3587" width="77.625" customWidth="1"/>
    <col min="3588" max="3588" width="20.875" customWidth="1"/>
    <col min="3838" max="3838" width="2.875" customWidth="1"/>
    <col min="3839" max="3839" width="8.125" customWidth="1"/>
    <col min="3840" max="3840" width="8.75" customWidth="1"/>
    <col min="3841" max="3841" width="11" customWidth="1"/>
    <col min="3842" max="3842" width="2.875" customWidth="1"/>
    <col min="3843" max="3843" width="77.625" customWidth="1"/>
    <col min="3844" max="3844" width="20.875" customWidth="1"/>
    <col min="4094" max="4094" width="2.875" customWidth="1"/>
    <col min="4095" max="4095" width="8.125" customWidth="1"/>
    <col min="4096" max="4096" width="8.75" customWidth="1"/>
    <col min="4097" max="4097" width="11" customWidth="1"/>
    <col min="4098" max="4098" width="2.875" customWidth="1"/>
    <col min="4099" max="4099" width="77.625" customWidth="1"/>
    <col min="4100" max="4100" width="20.875" customWidth="1"/>
    <col min="4350" max="4350" width="2.875" customWidth="1"/>
    <col min="4351" max="4351" width="8.125" customWidth="1"/>
    <col min="4352" max="4352" width="8.75" customWidth="1"/>
    <col min="4353" max="4353" width="11" customWidth="1"/>
    <col min="4354" max="4354" width="2.875" customWidth="1"/>
    <col min="4355" max="4355" width="77.625" customWidth="1"/>
    <col min="4356" max="4356" width="20.875" customWidth="1"/>
    <col min="4606" max="4606" width="2.875" customWidth="1"/>
    <col min="4607" max="4607" width="8.125" customWidth="1"/>
    <col min="4608" max="4608" width="8.75" customWidth="1"/>
    <col min="4609" max="4609" width="11" customWidth="1"/>
    <col min="4610" max="4610" width="2.875" customWidth="1"/>
    <col min="4611" max="4611" width="77.625" customWidth="1"/>
    <col min="4612" max="4612" width="20.875" customWidth="1"/>
    <col min="4862" max="4862" width="2.875" customWidth="1"/>
    <col min="4863" max="4863" width="8.125" customWidth="1"/>
    <col min="4864" max="4864" width="8.75" customWidth="1"/>
    <col min="4865" max="4865" width="11" customWidth="1"/>
    <col min="4866" max="4866" width="2.875" customWidth="1"/>
    <col min="4867" max="4867" width="77.625" customWidth="1"/>
    <col min="4868" max="4868" width="20.875" customWidth="1"/>
    <col min="5118" max="5118" width="2.875" customWidth="1"/>
    <col min="5119" max="5119" width="8.125" customWidth="1"/>
    <col min="5120" max="5120" width="8.75" customWidth="1"/>
    <col min="5121" max="5121" width="11" customWidth="1"/>
    <col min="5122" max="5122" width="2.875" customWidth="1"/>
    <col min="5123" max="5123" width="77.625" customWidth="1"/>
    <col min="5124" max="5124" width="20.875" customWidth="1"/>
    <col min="5374" max="5374" width="2.875" customWidth="1"/>
    <col min="5375" max="5375" width="8.125" customWidth="1"/>
    <col min="5376" max="5376" width="8.75" customWidth="1"/>
    <col min="5377" max="5377" width="11" customWidth="1"/>
    <col min="5378" max="5378" width="2.875" customWidth="1"/>
    <col min="5379" max="5379" width="77.625" customWidth="1"/>
    <col min="5380" max="5380" width="20.875" customWidth="1"/>
    <col min="5630" max="5630" width="2.875" customWidth="1"/>
    <col min="5631" max="5631" width="8.125" customWidth="1"/>
    <col min="5632" max="5632" width="8.75" customWidth="1"/>
    <col min="5633" max="5633" width="11" customWidth="1"/>
    <col min="5634" max="5634" width="2.875" customWidth="1"/>
    <col min="5635" max="5635" width="77.625" customWidth="1"/>
    <col min="5636" max="5636" width="20.875" customWidth="1"/>
    <col min="5886" max="5886" width="2.875" customWidth="1"/>
    <col min="5887" max="5887" width="8.125" customWidth="1"/>
    <col min="5888" max="5888" width="8.75" customWidth="1"/>
    <col min="5889" max="5889" width="11" customWidth="1"/>
    <col min="5890" max="5890" width="2.875" customWidth="1"/>
    <col min="5891" max="5891" width="77.625" customWidth="1"/>
    <col min="5892" max="5892" width="20.875" customWidth="1"/>
    <col min="6142" max="6142" width="2.875" customWidth="1"/>
    <col min="6143" max="6143" width="8.125" customWidth="1"/>
    <col min="6144" max="6144" width="8.75" customWidth="1"/>
    <col min="6145" max="6145" width="11" customWidth="1"/>
    <col min="6146" max="6146" width="2.875" customWidth="1"/>
    <col min="6147" max="6147" width="77.625" customWidth="1"/>
    <col min="6148" max="6148" width="20.875" customWidth="1"/>
    <col min="6398" max="6398" width="2.875" customWidth="1"/>
    <col min="6399" max="6399" width="8.125" customWidth="1"/>
    <col min="6400" max="6400" width="8.75" customWidth="1"/>
    <col min="6401" max="6401" width="11" customWidth="1"/>
    <col min="6402" max="6402" width="2.875" customWidth="1"/>
    <col min="6403" max="6403" width="77.625" customWidth="1"/>
    <col min="6404" max="6404" width="20.875" customWidth="1"/>
    <col min="6654" max="6654" width="2.875" customWidth="1"/>
    <col min="6655" max="6655" width="8.125" customWidth="1"/>
    <col min="6656" max="6656" width="8.75" customWidth="1"/>
    <col min="6657" max="6657" width="11" customWidth="1"/>
    <col min="6658" max="6658" width="2.875" customWidth="1"/>
    <col min="6659" max="6659" width="77.625" customWidth="1"/>
    <col min="6660" max="6660" width="20.875" customWidth="1"/>
    <col min="6910" max="6910" width="2.875" customWidth="1"/>
    <col min="6911" max="6911" width="8.125" customWidth="1"/>
    <col min="6912" max="6912" width="8.75" customWidth="1"/>
    <col min="6913" max="6913" width="11" customWidth="1"/>
    <col min="6914" max="6914" width="2.875" customWidth="1"/>
    <col min="6915" max="6915" width="77.625" customWidth="1"/>
    <col min="6916" max="6916" width="20.875" customWidth="1"/>
    <col min="7166" max="7166" width="2.875" customWidth="1"/>
    <col min="7167" max="7167" width="8.125" customWidth="1"/>
    <col min="7168" max="7168" width="8.75" customWidth="1"/>
    <col min="7169" max="7169" width="11" customWidth="1"/>
    <col min="7170" max="7170" width="2.875" customWidth="1"/>
    <col min="7171" max="7171" width="77.625" customWidth="1"/>
    <col min="7172" max="7172" width="20.875" customWidth="1"/>
    <col min="7422" max="7422" width="2.875" customWidth="1"/>
    <col min="7423" max="7423" width="8.125" customWidth="1"/>
    <col min="7424" max="7424" width="8.75" customWidth="1"/>
    <col min="7425" max="7425" width="11" customWidth="1"/>
    <col min="7426" max="7426" width="2.875" customWidth="1"/>
    <col min="7427" max="7427" width="77.625" customWidth="1"/>
    <col min="7428" max="7428" width="20.875" customWidth="1"/>
    <col min="7678" max="7678" width="2.875" customWidth="1"/>
    <col min="7679" max="7679" width="8.125" customWidth="1"/>
    <col min="7680" max="7680" width="8.75" customWidth="1"/>
    <col min="7681" max="7681" width="11" customWidth="1"/>
    <col min="7682" max="7682" width="2.875" customWidth="1"/>
    <col min="7683" max="7683" width="77.625" customWidth="1"/>
    <col min="7684" max="7684" width="20.875" customWidth="1"/>
    <col min="7934" max="7934" width="2.875" customWidth="1"/>
    <col min="7935" max="7935" width="8.125" customWidth="1"/>
    <col min="7936" max="7936" width="8.75" customWidth="1"/>
    <col min="7937" max="7937" width="11" customWidth="1"/>
    <col min="7938" max="7938" width="2.875" customWidth="1"/>
    <col min="7939" max="7939" width="77.625" customWidth="1"/>
    <col min="7940" max="7940" width="20.875" customWidth="1"/>
    <col min="8190" max="8190" width="2.875" customWidth="1"/>
    <col min="8191" max="8191" width="8.125" customWidth="1"/>
    <col min="8192" max="8192" width="8.75" customWidth="1"/>
    <col min="8193" max="8193" width="11" customWidth="1"/>
    <col min="8194" max="8194" width="2.875" customWidth="1"/>
    <col min="8195" max="8195" width="77.625" customWidth="1"/>
    <col min="8196" max="8196" width="20.875" customWidth="1"/>
    <col min="8446" max="8446" width="2.875" customWidth="1"/>
    <col min="8447" max="8447" width="8.125" customWidth="1"/>
    <col min="8448" max="8448" width="8.75" customWidth="1"/>
    <col min="8449" max="8449" width="11" customWidth="1"/>
    <col min="8450" max="8450" width="2.875" customWidth="1"/>
    <col min="8451" max="8451" width="77.625" customWidth="1"/>
    <col min="8452" max="8452" width="20.875" customWidth="1"/>
    <col min="8702" max="8702" width="2.875" customWidth="1"/>
    <col min="8703" max="8703" width="8.125" customWidth="1"/>
    <col min="8704" max="8704" width="8.75" customWidth="1"/>
    <col min="8705" max="8705" width="11" customWidth="1"/>
    <col min="8706" max="8706" width="2.875" customWidth="1"/>
    <col min="8707" max="8707" width="77.625" customWidth="1"/>
    <col min="8708" max="8708" width="20.875" customWidth="1"/>
    <col min="8958" max="8958" width="2.875" customWidth="1"/>
    <col min="8959" max="8959" width="8.125" customWidth="1"/>
    <col min="8960" max="8960" width="8.75" customWidth="1"/>
    <col min="8961" max="8961" width="11" customWidth="1"/>
    <col min="8962" max="8962" width="2.875" customWidth="1"/>
    <col min="8963" max="8963" width="77.625" customWidth="1"/>
    <col min="8964" max="8964" width="20.875" customWidth="1"/>
    <col min="9214" max="9214" width="2.875" customWidth="1"/>
    <col min="9215" max="9215" width="8.125" customWidth="1"/>
    <col min="9216" max="9216" width="8.75" customWidth="1"/>
    <col min="9217" max="9217" width="11" customWidth="1"/>
    <col min="9218" max="9218" width="2.875" customWidth="1"/>
    <col min="9219" max="9219" width="77.625" customWidth="1"/>
    <col min="9220" max="9220" width="20.875" customWidth="1"/>
    <col min="9470" max="9470" width="2.875" customWidth="1"/>
    <col min="9471" max="9471" width="8.125" customWidth="1"/>
    <col min="9472" max="9472" width="8.75" customWidth="1"/>
    <col min="9473" max="9473" width="11" customWidth="1"/>
    <col min="9474" max="9474" width="2.875" customWidth="1"/>
    <col min="9475" max="9475" width="77.625" customWidth="1"/>
    <col min="9476" max="9476" width="20.875" customWidth="1"/>
    <col min="9726" max="9726" width="2.875" customWidth="1"/>
    <col min="9727" max="9727" width="8.125" customWidth="1"/>
    <col min="9728" max="9728" width="8.75" customWidth="1"/>
    <col min="9729" max="9729" width="11" customWidth="1"/>
    <col min="9730" max="9730" width="2.875" customWidth="1"/>
    <col min="9731" max="9731" width="77.625" customWidth="1"/>
    <col min="9732" max="9732" width="20.875" customWidth="1"/>
    <col min="9982" max="9982" width="2.875" customWidth="1"/>
    <col min="9983" max="9983" width="8.125" customWidth="1"/>
    <col min="9984" max="9984" width="8.75" customWidth="1"/>
    <col min="9985" max="9985" width="11" customWidth="1"/>
    <col min="9986" max="9986" width="2.875" customWidth="1"/>
    <col min="9987" max="9987" width="77.625" customWidth="1"/>
    <col min="9988" max="9988" width="20.875" customWidth="1"/>
    <col min="10238" max="10238" width="2.875" customWidth="1"/>
    <col min="10239" max="10239" width="8.125" customWidth="1"/>
    <col min="10240" max="10240" width="8.75" customWidth="1"/>
    <col min="10241" max="10241" width="11" customWidth="1"/>
    <col min="10242" max="10242" width="2.875" customWidth="1"/>
    <col min="10243" max="10243" width="77.625" customWidth="1"/>
    <col min="10244" max="10244" width="20.875" customWidth="1"/>
    <col min="10494" max="10494" width="2.875" customWidth="1"/>
    <col min="10495" max="10495" width="8.125" customWidth="1"/>
    <col min="10496" max="10496" width="8.75" customWidth="1"/>
    <col min="10497" max="10497" width="11" customWidth="1"/>
    <col min="10498" max="10498" width="2.875" customWidth="1"/>
    <col min="10499" max="10499" width="77.625" customWidth="1"/>
    <col min="10500" max="10500" width="20.875" customWidth="1"/>
    <col min="10750" max="10750" width="2.875" customWidth="1"/>
    <col min="10751" max="10751" width="8.125" customWidth="1"/>
    <col min="10752" max="10752" width="8.75" customWidth="1"/>
    <col min="10753" max="10753" width="11" customWidth="1"/>
    <col min="10754" max="10754" width="2.875" customWidth="1"/>
    <col min="10755" max="10755" width="77.625" customWidth="1"/>
    <col min="10756" max="10756" width="20.875" customWidth="1"/>
    <col min="11006" max="11006" width="2.875" customWidth="1"/>
    <col min="11007" max="11007" width="8.125" customWidth="1"/>
    <col min="11008" max="11008" width="8.75" customWidth="1"/>
    <col min="11009" max="11009" width="11" customWidth="1"/>
    <col min="11010" max="11010" width="2.875" customWidth="1"/>
    <col min="11011" max="11011" width="77.625" customWidth="1"/>
    <col min="11012" max="11012" width="20.875" customWidth="1"/>
    <col min="11262" max="11262" width="2.875" customWidth="1"/>
    <col min="11263" max="11263" width="8.125" customWidth="1"/>
    <col min="11264" max="11264" width="8.75" customWidth="1"/>
    <col min="11265" max="11265" width="11" customWidth="1"/>
    <col min="11266" max="11266" width="2.875" customWidth="1"/>
    <col min="11267" max="11267" width="77.625" customWidth="1"/>
    <col min="11268" max="11268" width="20.875" customWidth="1"/>
    <col min="11518" max="11518" width="2.875" customWidth="1"/>
    <col min="11519" max="11519" width="8.125" customWidth="1"/>
    <col min="11520" max="11520" width="8.75" customWidth="1"/>
    <col min="11521" max="11521" width="11" customWidth="1"/>
    <col min="11522" max="11522" width="2.875" customWidth="1"/>
    <col min="11523" max="11523" width="77.625" customWidth="1"/>
    <col min="11524" max="11524" width="20.875" customWidth="1"/>
    <col min="11774" max="11774" width="2.875" customWidth="1"/>
    <col min="11775" max="11775" width="8.125" customWidth="1"/>
    <col min="11776" max="11776" width="8.75" customWidth="1"/>
    <col min="11777" max="11777" width="11" customWidth="1"/>
    <col min="11778" max="11778" width="2.875" customWidth="1"/>
    <col min="11779" max="11779" width="77.625" customWidth="1"/>
    <col min="11780" max="11780" width="20.875" customWidth="1"/>
    <col min="12030" max="12030" width="2.875" customWidth="1"/>
    <col min="12031" max="12031" width="8.125" customWidth="1"/>
    <col min="12032" max="12032" width="8.75" customWidth="1"/>
    <col min="12033" max="12033" width="11" customWidth="1"/>
    <col min="12034" max="12034" width="2.875" customWidth="1"/>
    <col min="12035" max="12035" width="77.625" customWidth="1"/>
    <col min="12036" max="12036" width="20.875" customWidth="1"/>
    <col min="12286" max="12286" width="2.875" customWidth="1"/>
    <col min="12287" max="12287" width="8.125" customWidth="1"/>
    <col min="12288" max="12288" width="8.75" customWidth="1"/>
    <col min="12289" max="12289" width="11" customWidth="1"/>
    <col min="12290" max="12290" width="2.875" customWidth="1"/>
    <col min="12291" max="12291" width="77.625" customWidth="1"/>
    <col min="12292" max="12292" width="20.875" customWidth="1"/>
    <col min="12542" max="12542" width="2.875" customWidth="1"/>
    <col min="12543" max="12543" width="8.125" customWidth="1"/>
    <col min="12544" max="12544" width="8.75" customWidth="1"/>
    <col min="12545" max="12545" width="11" customWidth="1"/>
    <col min="12546" max="12546" width="2.875" customWidth="1"/>
    <col min="12547" max="12547" width="77.625" customWidth="1"/>
    <col min="12548" max="12548" width="20.875" customWidth="1"/>
    <col min="12798" max="12798" width="2.875" customWidth="1"/>
    <col min="12799" max="12799" width="8.125" customWidth="1"/>
    <col min="12800" max="12800" width="8.75" customWidth="1"/>
    <col min="12801" max="12801" width="11" customWidth="1"/>
    <col min="12802" max="12802" width="2.875" customWidth="1"/>
    <col min="12803" max="12803" width="77.625" customWidth="1"/>
    <col min="12804" max="12804" width="20.875" customWidth="1"/>
    <col min="13054" max="13054" width="2.875" customWidth="1"/>
    <col min="13055" max="13055" width="8.125" customWidth="1"/>
    <col min="13056" max="13056" width="8.75" customWidth="1"/>
    <col min="13057" max="13057" width="11" customWidth="1"/>
    <col min="13058" max="13058" width="2.875" customWidth="1"/>
    <col min="13059" max="13059" width="77.625" customWidth="1"/>
    <col min="13060" max="13060" width="20.875" customWidth="1"/>
    <col min="13310" max="13310" width="2.875" customWidth="1"/>
    <col min="13311" max="13311" width="8.125" customWidth="1"/>
    <col min="13312" max="13312" width="8.75" customWidth="1"/>
    <col min="13313" max="13313" width="11" customWidth="1"/>
    <col min="13314" max="13314" width="2.875" customWidth="1"/>
    <col min="13315" max="13315" width="77.625" customWidth="1"/>
    <col min="13316" max="13316" width="20.875" customWidth="1"/>
    <col min="13566" max="13566" width="2.875" customWidth="1"/>
    <col min="13567" max="13567" width="8.125" customWidth="1"/>
    <col min="13568" max="13568" width="8.75" customWidth="1"/>
    <col min="13569" max="13569" width="11" customWidth="1"/>
    <col min="13570" max="13570" width="2.875" customWidth="1"/>
    <col min="13571" max="13571" width="77.625" customWidth="1"/>
    <col min="13572" max="13572" width="20.875" customWidth="1"/>
    <col min="13822" max="13822" width="2.875" customWidth="1"/>
    <col min="13823" max="13823" width="8.125" customWidth="1"/>
    <col min="13824" max="13824" width="8.75" customWidth="1"/>
    <col min="13825" max="13825" width="11" customWidth="1"/>
    <col min="13826" max="13826" width="2.875" customWidth="1"/>
    <col min="13827" max="13827" width="77.625" customWidth="1"/>
    <col min="13828" max="13828" width="20.875" customWidth="1"/>
    <col min="14078" max="14078" width="2.875" customWidth="1"/>
    <col min="14079" max="14079" width="8.125" customWidth="1"/>
    <col min="14080" max="14080" width="8.75" customWidth="1"/>
    <col min="14081" max="14081" width="11" customWidth="1"/>
    <col min="14082" max="14082" width="2.875" customWidth="1"/>
    <col min="14083" max="14083" width="77.625" customWidth="1"/>
    <col min="14084" max="14084" width="20.875" customWidth="1"/>
    <col min="14334" max="14334" width="2.875" customWidth="1"/>
    <col min="14335" max="14335" width="8.125" customWidth="1"/>
    <col min="14336" max="14336" width="8.75" customWidth="1"/>
    <col min="14337" max="14337" width="11" customWidth="1"/>
    <col min="14338" max="14338" width="2.875" customWidth="1"/>
    <col min="14339" max="14339" width="77.625" customWidth="1"/>
    <col min="14340" max="14340" width="20.875" customWidth="1"/>
    <col min="14590" max="14590" width="2.875" customWidth="1"/>
    <col min="14591" max="14591" width="8.125" customWidth="1"/>
    <col min="14592" max="14592" width="8.75" customWidth="1"/>
    <col min="14593" max="14593" width="11" customWidth="1"/>
    <col min="14594" max="14594" width="2.875" customWidth="1"/>
    <col min="14595" max="14595" width="77.625" customWidth="1"/>
    <col min="14596" max="14596" width="20.875" customWidth="1"/>
    <col min="14846" max="14846" width="2.875" customWidth="1"/>
    <col min="14847" max="14847" width="8.125" customWidth="1"/>
    <col min="14848" max="14848" width="8.75" customWidth="1"/>
    <col min="14849" max="14849" width="11" customWidth="1"/>
    <col min="14850" max="14850" width="2.875" customWidth="1"/>
    <col min="14851" max="14851" width="77.625" customWidth="1"/>
    <col min="14852" max="14852" width="20.875" customWidth="1"/>
    <col min="15102" max="15102" width="2.875" customWidth="1"/>
    <col min="15103" max="15103" width="8.125" customWidth="1"/>
    <col min="15104" max="15104" width="8.75" customWidth="1"/>
    <col min="15105" max="15105" width="11" customWidth="1"/>
    <col min="15106" max="15106" width="2.875" customWidth="1"/>
    <col min="15107" max="15107" width="77.625" customWidth="1"/>
    <col min="15108" max="15108" width="20.875" customWidth="1"/>
    <col min="15358" max="15358" width="2.875" customWidth="1"/>
    <col min="15359" max="15359" width="8.125" customWidth="1"/>
    <col min="15360" max="15360" width="8.75" customWidth="1"/>
    <col min="15361" max="15361" width="11" customWidth="1"/>
    <col min="15362" max="15362" width="2.875" customWidth="1"/>
    <col min="15363" max="15363" width="77.625" customWidth="1"/>
    <col min="15364" max="15364" width="20.875" customWidth="1"/>
    <col min="15614" max="15614" width="2.875" customWidth="1"/>
    <col min="15615" max="15615" width="8.125" customWidth="1"/>
    <col min="15616" max="15616" width="8.75" customWidth="1"/>
    <col min="15617" max="15617" width="11" customWidth="1"/>
    <col min="15618" max="15618" width="2.875" customWidth="1"/>
    <col min="15619" max="15619" width="77.625" customWidth="1"/>
    <col min="15620" max="15620" width="20.875" customWidth="1"/>
    <col min="15870" max="15870" width="2.875" customWidth="1"/>
    <col min="15871" max="15871" width="8.125" customWidth="1"/>
    <col min="15872" max="15872" width="8.75" customWidth="1"/>
    <col min="15873" max="15873" width="11" customWidth="1"/>
    <col min="15874" max="15874" width="2.875" customWidth="1"/>
    <col min="15875" max="15875" width="77.625" customWidth="1"/>
    <col min="15876" max="15876" width="20.875" customWidth="1"/>
    <col min="16126" max="16126" width="2.875" customWidth="1"/>
    <col min="16127" max="16127" width="8.125" customWidth="1"/>
    <col min="16128" max="16128" width="8.75" customWidth="1"/>
    <col min="16129" max="16129" width="11" customWidth="1"/>
    <col min="16130" max="16130" width="2.875" customWidth="1"/>
    <col min="16131" max="16131" width="77.625" customWidth="1"/>
    <col min="16132" max="16132" width="20.875" customWidth="1"/>
  </cols>
  <sheetData>
    <row r="1" spans="1:15" ht="22.5" customHeight="1" x14ac:dyDescent="0.4">
      <c r="A1" s="35" t="s">
        <v>90</v>
      </c>
      <c r="B1" s="36"/>
      <c r="C1" s="37"/>
      <c r="D1" s="37"/>
      <c r="E1" s="37"/>
      <c r="F1" s="36"/>
      <c r="G1" s="149"/>
      <c r="H1" s="36"/>
      <c r="I1" s="36"/>
      <c r="J1" s="36"/>
      <c r="K1" s="36"/>
      <c r="L1" s="36"/>
      <c r="M1" s="36"/>
      <c r="N1" s="36"/>
      <c r="O1" s="36"/>
    </row>
    <row r="2" spans="1:15" ht="22.5" customHeight="1" x14ac:dyDescent="0.4">
      <c r="A2" s="35" t="s">
        <v>530</v>
      </c>
      <c r="B2" s="36"/>
      <c r="C2" s="37"/>
      <c r="D2" s="37"/>
      <c r="E2" s="37"/>
      <c r="F2" s="36"/>
      <c r="G2" s="149"/>
      <c r="H2" s="36"/>
      <c r="I2" s="36"/>
      <c r="J2" s="36"/>
      <c r="K2" s="36"/>
      <c r="L2" s="36"/>
      <c r="M2" s="36"/>
      <c r="N2" s="36"/>
      <c r="O2" s="36"/>
    </row>
    <row r="3" spans="1:15" ht="21.75" customHeight="1" x14ac:dyDescent="0.4">
      <c r="A3" s="35" t="s">
        <v>531</v>
      </c>
      <c r="B3" s="36"/>
      <c r="C3" s="37"/>
      <c r="D3" s="37"/>
      <c r="E3" s="37"/>
      <c r="F3" s="36"/>
      <c r="G3" s="149"/>
      <c r="H3" s="36"/>
      <c r="I3" s="36"/>
      <c r="J3" s="36"/>
      <c r="K3" s="36"/>
      <c r="L3" s="36"/>
      <c r="M3" s="36"/>
      <c r="N3" s="36"/>
      <c r="O3" s="36"/>
    </row>
    <row r="4" spans="1:15" ht="22.5" customHeight="1" x14ac:dyDescent="0.35">
      <c r="B4" s="36"/>
      <c r="C4" s="37"/>
      <c r="D4" s="37"/>
      <c r="E4" s="37"/>
      <c r="F4" s="36"/>
      <c r="G4" s="149"/>
      <c r="H4" s="36"/>
      <c r="I4" s="36"/>
      <c r="J4" s="36"/>
      <c r="K4" s="36"/>
      <c r="L4" s="36"/>
      <c r="M4" s="36"/>
      <c r="N4" s="36"/>
      <c r="O4" s="36"/>
    </row>
    <row r="5" spans="1:15" s="39" customFormat="1" ht="8.25" customHeight="1" thickBot="1" x14ac:dyDescent="0.25">
      <c r="A5" s="38"/>
      <c r="B5" s="38"/>
      <c r="C5" s="38"/>
      <c r="D5" s="38"/>
      <c r="E5" s="38"/>
      <c r="F5" s="38"/>
      <c r="G5" s="150"/>
    </row>
    <row r="6" spans="1:15" s="42" customFormat="1" ht="24.75" customHeight="1" thickTop="1" thickBot="1" x14ac:dyDescent="0.25">
      <c r="A6" s="40" t="s">
        <v>104</v>
      </c>
      <c r="B6" s="40"/>
      <c r="C6" s="40"/>
      <c r="D6" s="40"/>
      <c r="E6" s="40"/>
      <c r="F6" s="40"/>
      <c r="G6" s="269"/>
      <c r="H6" s="157" t="s">
        <v>46</v>
      </c>
      <c r="I6" s="157"/>
      <c r="J6" s="790" t="s">
        <v>535</v>
      </c>
      <c r="K6" s="790"/>
      <c r="L6" s="790"/>
      <c r="M6" s="790"/>
      <c r="N6" s="41"/>
      <c r="O6" s="277"/>
    </row>
    <row r="7" spans="1:15" s="44" customFormat="1" ht="21" customHeight="1" thickTop="1" x14ac:dyDescent="0.2">
      <c r="A7" s="43"/>
      <c r="B7" s="43"/>
      <c r="C7" s="43"/>
      <c r="D7" s="43"/>
      <c r="E7" s="43"/>
      <c r="F7" s="43"/>
      <c r="G7" s="151"/>
      <c r="J7" s="568" t="s">
        <v>525</v>
      </c>
      <c r="K7" s="568" t="s">
        <v>526</v>
      </c>
      <c r="M7" s="568" t="s">
        <v>532</v>
      </c>
    </row>
    <row r="8" spans="1:15" s="44" customFormat="1" ht="21" customHeight="1" x14ac:dyDescent="0.3">
      <c r="A8" s="43"/>
      <c r="B8" s="43"/>
      <c r="C8" s="43"/>
      <c r="D8" s="43"/>
      <c r="E8" s="43"/>
      <c r="F8" s="43"/>
      <c r="G8" s="151"/>
      <c r="J8" s="568" t="s">
        <v>527</v>
      </c>
      <c r="K8" s="568" t="s">
        <v>527</v>
      </c>
      <c r="M8" s="568" t="s">
        <v>533</v>
      </c>
      <c r="O8" s="181" t="s">
        <v>536</v>
      </c>
    </row>
    <row r="9" spans="1:15" ht="21" thickBot="1" x14ac:dyDescent="0.35">
      <c r="A9" s="45"/>
      <c r="B9" s="98" t="s">
        <v>96</v>
      </c>
      <c r="C9" s="98"/>
      <c r="D9" s="98"/>
      <c r="E9" s="98"/>
      <c r="F9" s="98"/>
      <c r="G9" s="187">
        <v>41090</v>
      </c>
      <c r="H9" s="187">
        <v>41274</v>
      </c>
      <c r="I9" s="224"/>
      <c r="J9" s="187" t="s">
        <v>528</v>
      </c>
      <c r="K9" s="449" t="s">
        <v>529</v>
      </c>
      <c r="L9" s="224"/>
      <c r="M9" s="449" t="s">
        <v>534</v>
      </c>
      <c r="O9" s="449" t="s">
        <v>534</v>
      </c>
    </row>
    <row r="10" spans="1:15" s="44" customFormat="1" ht="20.25" x14ac:dyDescent="0.2">
      <c r="A10" s="43"/>
      <c r="B10" s="43"/>
      <c r="C10" s="47" t="s">
        <v>146</v>
      </c>
      <c r="D10" s="47"/>
      <c r="E10" s="47"/>
      <c r="F10" s="43"/>
      <c r="G10" s="151">
        <v>127719</v>
      </c>
      <c r="H10" s="151">
        <v>67566.5</v>
      </c>
      <c r="I10" s="151"/>
      <c r="J10" s="160">
        <f>'February''25 State of Activities'!G10</f>
        <v>32500</v>
      </c>
      <c r="K10" s="160">
        <v>54000</v>
      </c>
      <c r="L10" s="160"/>
      <c r="M10" s="567">
        <f>J10+K10</f>
        <v>86500</v>
      </c>
      <c r="O10" s="261">
        <v>92000</v>
      </c>
    </row>
    <row r="11" spans="1:15" s="44" customFormat="1" ht="20.25" x14ac:dyDescent="0.2">
      <c r="A11" s="43"/>
      <c r="B11" s="43"/>
      <c r="C11" s="47" t="s">
        <v>207</v>
      </c>
      <c r="D11" s="47"/>
      <c r="E11" s="47"/>
      <c r="F11" s="43"/>
      <c r="G11" s="160">
        <v>875436</v>
      </c>
      <c r="H11" s="160">
        <v>372424.1</v>
      </c>
      <c r="I11" s="160"/>
      <c r="J11" s="151">
        <v>2148</v>
      </c>
      <c r="K11" s="151">
        <f>4300-J11</f>
        <v>2152</v>
      </c>
      <c r="L11" s="160"/>
      <c r="M11" s="151">
        <f>J11+K11</f>
        <v>4300</v>
      </c>
      <c r="O11" s="337">
        <v>4000</v>
      </c>
    </row>
    <row r="12" spans="1:15" s="44" customFormat="1" ht="20.25" x14ac:dyDescent="0.2">
      <c r="A12" s="43"/>
      <c r="B12" s="43"/>
      <c r="C12" s="47" t="s">
        <v>98</v>
      </c>
      <c r="D12" s="47"/>
      <c r="E12" s="47"/>
      <c r="F12" s="43"/>
      <c r="G12" s="151"/>
      <c r="H12" s="151"/>
      <c r="I12" s="151"/>
      <c r="J12" s="151"/>
      <c r="K12" s="151"/>
      <c r="L12" s="151"/>
      <c r="M12" s="151"/>
      <c r="O12" s="337"/>
    </row>
    <row r="13" spans="1:15" s="44" customFormat="1" ht="20.25" x14ac:dyDescent="0.2">
      <c r="A13" s="43"/>
      <c r="B13" s="43"/>
      <c r="D13" s="47" t="s">
        <v>208</v>
      </c>
      <c r="E13" s="47"/>
      <c r="F13" s="43"/>
      <c r="G13" s="151">
        <v>94235.25</v>
      </c>
      <c r="H13" s="151">
        <v>37190.379999999997</v>
      </c>
      <c r="I13" s="151"/>
      <c r="J13" s="151" t="e">
        <f>'February''25 Revenues &amp; Expenses'!#REF!</f>
        <v>#REF!</v>
      </c>
      <c r="K13" s="151" t="e">
        <f>J13</f>
        <v>#REF!</v>
      </c>
      <c r="L13" s="151"/>
      <c r="M13" s="151" t="e">
        <f t="shared" ref="M13:M23" si="0">J13+K13</f>
        <v>#REF!</v>
      </c>
      <c r="O13" s="337">
        <v>47500</v>
      </c>
    </row>
    <row r="14" spans="1:15" s="44" customFormat="1" ht="20.25" x14ac:dyDescent="0.2">
      <c r="A14" s="43"/>
      <c r="B14" s="43"/>
      <c r="D14" s="47" t="s">
        <v>154</v>
      </c>
      <c r="E14" s="47"/>
      <c r="F14" s="43"/>
      <c r="G14" s="151"/>
      <c r="H14" s="151"/>
      <c r="I14" s="151"/>
      <c r="J14" s="151">
        <f>'February''25 Revenues &amp; Expenses'!J13</f>
        <v>3000</v>
      </c>
      <c r="K14" s="151">
        <f>J14</f>
        <v>3000</v>
      </c>
      <c r="L14" s="151"/>
      <c r="M14" s="151">
        <f t="shared" si="0"/>
        <v>6000</v>
      </c>
      <c r="O14" s="337">
        <v>18000</v>
      </c>
    </row>
    <row r="15" spans="1:15" s="44" customFormat="1" ht="20.25" x14ac:dyDescent="0.2">
      <c r="A15" s="43"/>
      <c r="B15" s="43"/>
      <c r="C15" s="47" t="s">
        <v>99</v>
      </c>
      <c r="D15" s="47"/>
      <c r="E15" s="47"/>
      <c r="F15" s="43"/>
      <c r="G15" s="151">
        <v>0</v>
      </c>
      <c r="H15" s="151">
        <v>3517</v>
      </c>
      <c r="I15" s="151"/>
      <c r="J15" s="151">
        <f>'February''25 State of Activities'!G18</f>
        <v>2223</v>
      </c>
      <c r="K15" s="151">
        <v>10000</v>
      </c>
      <c r="L15" s="151"/>
      <c r="M15" s="151">
        <f t="shared" si="0"/>
        <v>12223</v>
      </c>
      <c r="O15" s="337">
        <v>20000</v>
      </c>
    </row>
    <row r="16" spans="1:15" s="44" customFormat="1" ht="20.25" x14ac:dyDescent="0.2">
      <c r="A16" s="43"/>
      <c r="B16" s="43"/>
      <c r="C16" s="47" t="s">
        <v>537</v>
      </c>
      <c r="D16" s="47"/>
      <c r="E16" s="47"/>
      <c r="F16" s="43"/>
      <c r="G16" s="151"/>
      <c r="H16" s="151"/>
      <c r="I16" s="151"/>
      <c r="J16" s="151"/>
      <c r="K16" s="151">
        <v>15000</v>
      </c>
      <c r="L16" s="151"/>
      <c r="M16" s="522">
        <f t="shared" si="0"/>
        <v>15000</v>
      </c>
      <c r="O16" s="337"/>
    </row>
    <row r="17" spans="2:15" s="44" customFormat="1" ht="20.25" x14ac:dyDescent="0.2">
      <c r="B17" s="43"/>
      <c r="C17" s="47" t="s">
        <v>209</v>
      </c>
      <c r="D17" s="47"/>
      <c r="E17" s="47"/>
      <c r="F17" s="43"/>
      <c r="G17" s="151">
        <v>31459</v>
      </c>
      <c r="H17" s="151">
        <v>13920.35</v>
      </c>
      <c r="I17" s="151"/>
      <c r="J17" s="151">
        <f>'February''25 Revenues &amp; Expenses'!I29</f>
        <v>0</v>
      </c>
      <c r="K17" s="151">
        <f>27500-J17</f>
        <v>27500</v>
      </c>
      <c r="L17" s="151"/>
      <c r="M17" s="151">
        <f t="shared" si="0"/>
        <v>27500</v>
      </c>
      <c r="O17" s="337">
        <v>27500</v>
      </c>
    </row>
    <row r="18" spans="2:15" s="44" customFormat="1" ht="20.25" x14ac:dyDescent="0.2">
      <c r="B18" s="43"/>
      <c r="C18" s="47" t="s">
        <v>362</v>
      </c>
      <c r="D18" s="47"/>
      <c r="E18" s="47"/>
      <c r="F18" s="43"/>
      <c r="G18" s="151"/>
      <c r="H18" s="151"/>
      <c r="I18" s="151"/>
      <c r="J18" s="151">
        <v>11255.53</v>
      </c>
      <c r="K18" s="151">
        <v>12500</v>
      </c>
      <c r="L18" s="151"/>
      <c r="M18" s="151">
        <f t="shared" si="0"/>
        <v>23755.53</v>
      </c>
      <c r="O18" s="337">
        <v>25000</v>
      </c>
    </row>
    <row r="19" spans="2:15" s="44" customFormat="1" ht="20.25" x14ac:dyDescent="0.2">
      <c r="B19" s="43"/>
      <c r="C19" s="47" t="s">
        <v>374</v>
      </c>
      <c r="D19" s="47"/>
      <c r="E19" s="47"/>
      <c r="F19" s="43"/>
      <c r="G19" s="151"/>
      <c r="H19" s="151"/>
      <c r="I19" s="151"/>
      <c r="J19" s="151">
        <f>4166.67*6</f>
        <v>25000.02</v>
      </c>
      <c r="K19" s="151">
        <f>J19</f>
        <v>25000.02</v>
      </c>
      <c r="L19" s="151"/>
      <c r="M19" s="151">
        <f t="shared" si="0"/>
        <v>50000.04</v>
      </c>
      <c r="O19" s="337">
        <v>50000</v>
      </c>
    </row>
    <row r="20" spans="2:15" s="44" customFormat="1" ht="20.25" x14ac:dyDescent="0.2">
      <c r="B20" s="43"/>
      <c r="C20" s="47" t="s">
        <v>522</v>
      </c>
      <c r="D20" s="47"/>
      <c r="E20" s="47"/>
      <c r="F20" s="43"/>
      <c r="G20" s="151"/>
      <c r="H20" s="151"/>
      <c r="I20" s="151"/>
      <c r="J20" s="151">
        <f>7142.85*1</f>
        <v>7142.85</v>
      </c>
      <c r="K20" s="151">
        <f>50000-J20</f>
        <v>42857.15</v>
      </c>
      <c r="L20" s="151"/>
      <c r="M20" s="522">
        <f t="shared" si="0"/>
        <v>50000</v>
      </c>
      <c r="O20" s="337">
        <v>0</v>
      </c>
    </row>
    <row r="21" spans="2:15" s="44" customFormat="1" ht="20.25" hidden="1" x14ac:dyDescent="0.2">
      <c r="B21" s="43"/>
      <c r="C21" s="47" t="s">
        <v>389</v>
      </c>
      <c r="D21" s="47"/>
      <c r="E21" s="47"/>
      <c r="F21" s="43"/>
      <c r="G21" s="151"/>
      <c r="H21" s="151"/>
      <c r="I21" s="151"/>
      <c r="J21" s="151">
        <v>0</v>
      </c>
      <c r="K21" s="151">
        <v>0</v>
      </c>
      <c r="L21" s="151"/>
      <c r="M21" s="151">
        <f t="shared" si="0"/>
        <v>0</v>
      </c>
      <c r="O21" s="337"/>
    </row>
    <row r="22" spans="2:15" s="44" customFormat="1" ht="20.25" x14ac:dyDescent="0.2">
      <c r="B22" s="43"/>
      <c r="C22" s="47" t="s">
        <v>321</v>
      </c>
      <c r="D22" s="47"/>
      <c r="E22" s="47"/>
      <c r="F22" s="43"/>
      <c r="G22" s="151"/>
      <c r="H22" s="151"/>
      <c r="I22" s="151"/>
      <c r="J22" s="151">
        <v>90</v>
      </c>
      <c r="K22" s="151">
        <v>90</v>
      </c>
      <c r="L22" s="151"/>
      <c r="M22" s="151">
        <f t="shared" si="0"/>
        <v>180</v>
      </c>
      <c r="O22" s="337">
        <v>0</v>
      </c>
    </row>
    <row r="23" spans="2:15" s="44" customFormat="1" ht="20.25" customHeight="1" x14ac:dyDescent="0.2">
      <c r="B23" s="43"/>
      <c r="C23" s="792" t="s">
        <v>523</v>
      </c>
      <c r="D23" s="792"/>
      <c r="E23" s="792"/>
      <c r="F23" s="792"/>
      <c r="G23" s="151"/>
      <c r="H23" s="151"/>
      <c r="I23" s="151"/>
      <c r="J23" s="151">
        <v>529.88</v>
      </c>
      <c r="K23" s="151">
        <v>0</v>
      </c>
      <c r="L23" s="151"/>
      <c r="M23" s="151">
        <f t="shared" si="0"/>
        <v>529.88</v>
      </c>
      <c r="O23" s="337">
        <v>0</v>
      </c>
    </row>
    <row r="24" spans="2:15" s="44" customFormat="1" ht="21" thickBot="1" x14ac:dyDescent="0.25">
      <c r="B24" s="43"/>
      <c r="C24" s="47" t="s">
        <v>210</v>
      </c>
      <c r="D24" s="47"/>
      <c r="E24" s="47"/>
      <c r="F24" s="43"/>
      <c r="G24" s="158">
        <v>31250</v>
      </c>
      <c r="H24" s="158">
        <v>15624.98</v>
      </c>
      <c r="I24" s="151"/>
      <c r="J24" s="158">
        <f>'February''25 State of Activities'!G26*0.2</f>
        <v>1758</v>
      </c>
      <c r="K24" s="158">
        <f>J24</f>
        <v>1758</v>
      </c>
      <c r="L24" s="151"/>
      <c r="M24" s="158">
        <f>J24+K24</f>
        <v>3516</v>
      </c>
      <c r="O24" s="260">
        <f>M24</f>
        <v>3516</v>
      </c>
    </row>
    <row r="25" spans="2:15" s="44" customFormat="1" ht="20.25" x14ac:dyDescent="0.2">
      <c r="B25" s="43"/>
      <c r="C25" s="47"/>
      <c r="D25" s="43" t="s">
        <v>101</v>
      </c>
      <c r="E25" s="47"/>
      <c r="F25" s="43"/>
      <c r="G25" s="151">
        <v>1161224.25</v>
      </c>
      <c r="H25" s="151">
        <v>516293.30999999994</v>
      </c>
      <c r="I25" s="151"/>
      <c r="J25" s="151" t="e">
        <f>SUM(J10:J24)</f>
        <v>#REF!</v>
      </c>
      <c r="K25" s="151" t="e">
        <f>SUM(K10:K24)</f>
        <v>#REF!</v>
      </c>
      <c r="L25" s="151"/>
      <c r="M25" s="151" t="e">
        <f>SUM(M10:M24)</f>
        <v>#REF!</v>
      </c>
      <c r="O25" s="151">
        <f>SUM(O10:O24)</f>
        <v>287516</v>
      </c>
    </row>
    <row r="26" spans="2:15" s="44" customFormat="1" ht="21" thickBot="1" x14ac:dyDescent="0.25">
      <c r="B26" s="43"/>
      <c r="C26" s="43" t="s">
        <v>211</v>
      </c>
      <c r="D26" s="47"/>
      <c r="E26" s="47"/>
      <c r="F26" s="43"/>
      <c r="G26" s="158">
        <v>150176</v>
      </c>
      <c r="H26" s="158">
        <v>47700.27</v>
      </c>
      <c r="I26" s="151"/>
      <c r="J26" s="151">
        <f>21000/12*6</f>
        <v>10500</v>
      </c>
      <c r="K26" s="151">
        <f>J26</f>
        <v>10500</v>
      </c>
      <c r="L26" s="151"/>
      <c r="M26" s="151">
        <f>J26+K26</f>
        <v>21000</v>
      </c>
      <c r="O26" s="337">
        <v>20000</v>
      </c>
    </row>
    <row r="27" spans="2:15" s="44" customFormat="1" ht="21" thickBot="1" x14ac:dyDescent="0.25">
      <c r="B27" s="43"/>
      <c r="C27" s="43" t="s">
        <v>212</v>
      </c>
      <c r="D27" s="47"/>
      <c r="E27" s="47"/>
      <c r="F27" s="43"/>
      <c r="G27" s="151"/>
      <c r="H27" s="151"/>
      <c r="I27" s="151"/>
      <c r="J27" s="158">
        <v>15097.54</v>
      </c>
      <c r="K27" s="158">
        <v>14500</v>
      </c>
      <c r="L27" s="151"/>
      <c r="M27" s="158">
        <f>J27+K27</f>
        <v>29597.54</v>
      </c>
      <c r="O27" s="260">
        <v>26568</v>
      </c>
    </row>
    <row r="28" spans="2:15" s="44" customFormat="1" ht="20.25" x14ac:dyDescent="0.2">
      <c r="B28" s="43"/>
      <c r="C28" s="47"/>
      <c r="D28" s="43" t="s">
        <v>103</v>
      </c>
      <c r="E28" s="47"/>
      <c r="F28" s="43"/>
      <c r="G28" s="151">
        <v>1311400.25</v>
      </c>
      <c r="H28" s="151">
        <v>563993.57999999996</v>
      </c>
      <c r="I28" s="151"/>
      <c r="J28" s="151" t="e">
        <f>SUM(J25:J27)</f>
        <v>#REF!</v>
      </c>
      <c r="K28" s="151" t="e">
        <f>SUM(K25:K27)</f>
        <v>#REF!</v>
      </c>
      <c r="L28" s="151"/>
      <c r="M28" s="151" t="e">
        <f>SUM(M25:M27)</f>
        <v>#REF!</v>
      </c>
      <c r="O28" s="151">
        <f>SUM(O25:O27)</f>
        <v>334084</v>
      </c>
    </row>
    <row r="29" spans="2:15" s="44" customFormat="1" ht="20.25" x14ac:dyDescent="0.2">
      <c r="B29" s="43"/>
      <c r="C29" s="47"/>
      <c r="D29" s="43"/>
      <c r="E29" s="47"/>
      <c r="F29" s="43"/>
      <c r="G29" s="151"/>
      <c r="H29" s="151"/>
      <c r="I29" s="151"/>
      <c r="J29" s="151"/>
      <c r="K29" s="406"/>
      <c r="L29" s="151"/>
      <c r="M29" s="151"/>
    </row>
    <row r="30" spans="2:15" s="44" customFormat="1" ht="21" thickBot="1" x14ac:dyDescent="0.25">
      <c r="B30" s="55" t="s">
        <v>107</v>
      </c>
      <c r="C30" s="55"/>
      <c r="D30" s="55"/>
      <c r="E30" s="55"/>
      <c r="F30" s="55"/>
      <c r="G30" s="158"/>
      <c r="J30" s="151"/>
    </row>
    <row r="31" spans="2:15" s="44" customFormat="1" ht="20.25" x14ac:dyDescent="0.2">
      <c r="B31" s="43"/>
      <c r="C31" s="47" t="s">
        <v>213</v>
      </c>
      <c r="D31" s="47"/>
      <c r="E31" s="47"/>
      <c r="F31" s="47"/>
      <c r="G31" s="151">
        <v>733747.79999999993</v>
      </c>
      <c r="H31" s="182">
        <v>361976</v>
      </c>
      <c r="I31" s="182"/>
      <c r="J31" s="151"/>
      <c r="K31" s="182"/>
      <c r="L31" s="182"/>
      <c r="M31" s="182"/>
    </row>
    <row r="32" spans="2:15" s="44" customFormat="1" ht="20.25" x14ac:dyDescent="0.2">
      <c r="B32" s="43"/>
      <c r="C32" s="47"/>
      <c r="D32" s="792" t="s">
        <v>214</v>
      </c>
      <c r="E32" s="792"/>
      <c r="F32" s="792"/>
      <c r="G32" s="151"/>
      <c r="H32" s="182"/>
      <c r="I32" s="182"/>
      <c r="J32" s="151">
        <v>116661.22</v>
      </c>
      <c r="K32" s="151">
        <f>119814</f>
        <v>119814</v>
      </c>
      <c r="L32" s="182"/>
      <c r="M32" s="151">
        <f t="shared" ref="M32:M51" si="1">J32+K32</f>
        <v>236475.22</v>
      </c>
      <c r="O32" s="182">
        <v>242550</v>
      </c>
    </row>
    <row r="33" spans="2:15" s="44" customFormat="1" ht="20.25" x14ac:dyDescent="0.2">
      <c r="B33" s="43"/>
      <c r="C33" s="47"/>
      <c r="D33" s="792" t="s">
        <v>215</v>
      </c>
      <c r="E33" s="792"/>
      <c r="F33" s="792"/>
      <c r="G33" s="151"/>
      <c r="H33" s="182"/>
      <c r="I33" s="182"/>
      <c r="J33" s="151">
        <f>24422.9+14066.9</f>
        <v>38489.800000000003</v>
      </c>
      <c r="K33" s="151">
        <f>6240+24352+13838.5</f>
        <v>44430.5</v>
      </c>
      <c r="L33" s="182"/>
      <c r="M33" s="151">
        <f t="shared" si="1"/>
        <v>82920.3</v>
      </c>
      <c r="O33" s="182">
        <v>88858</v>
      </c>
    </row>
    <row r="34" spans="2:15" s="44" customFormat="1" ht="20.25" x14ac:dyDescent="0.2">
      <c r="B34" s="43"/>
      <c r="C34" s="47"/>
      <c r="D34" s="792" t="s">
        <v>109</v>
      </c>
      <c r="E34" s="792"/>
      <c r="F34" s="792"/>
      <c r="G34" s="151"/>
      <c r="H34" s="182"/>
      <c r="I34" s="182"/>
      <c r="J34" s="151">
        <f>J32*0.213+J33*0.14</f>
        <v>30237.41186</v>
      </c>
      <c r="K34" s="151">
        <f>23009.3+1310.4+4521.77+2750.44+400</f>
        <v>31991.91</v>
      </c>
      <c r="L34" s="182"/>
      <c r="M34" s="151">
        <f t="shared" si="1"/>
        <v>62229.321859999996</v>
      </c>
      <c r="O34" s="182">
        <v>60758</v>
      </c>
    </row>
    <row r="35" spans="2:15" s="44" customFormat="1" ht="20.25" x14ac:dyDescent="0.2">
      <c r="B35" s="43"/>
      <c r="C35" s="47" t="s">
        <v>268</v>
      </c>
      <c r="D35" s="47"/>
      <c r="E35" s="47"/>
      <c r="F35" s="47"/>
      <c r="G35" s="151">
        <v>44745.18</v>
      </c>
      <c r="H35" s="151">
        <v>20974.21</v>
      </c>
      <c r="I35" s="151"/>
      <c r="J35" s="500"/>
      <c r="K35" s="500"/>
      <c r="L35" s="500"/>
      <c r="M35" s="151">
        <f t="shared" si="1"/>
        <v>0</v>
      </c>
      <c r="O35" s="520"/>
    </row>
    <row r="36" spans="2:15" s="44" customFormat="1" ht="20.25" x14ac:dyDescent="0.2">
      <c r="B36" s="43"/>
      <c r="C36" s="47"/>
      <c r="D36" s="792" t="s">
        <v>216</v>
      </c>
      <c r="E36" s="792"/>
      <c r="F36" s="792"/>
      <c r="G36" s="151"/>
      <c r="H36" s="151"/>
      <c r="I36" s="151"/>
      <c r="J36" s="151">
        <v>16535.79</v>
      </c>
      <c r="K36" s="151">
        <v>18600</v>
      </c>
      <c r="L36" s="151"/>
      <c r="M36" s="151">
        <f t="shared" si="1"/>
        <v>35135.79</v>
      </c>
      <c r="O36" s="182">
        <v>38000</v>
      </c>
    </row>
    <row r="37" spans="2:15" s="44" customFormat="1" ht="20.25" x14ac:dyDescent="0.2">
      <c r="B37" s="43"/>
      <c r="C37" s="47"/>
      <c r="D37" s="792" t="s">
        <v>217</v>
      </c>
      <c r="E37" s="792"/>
      <c r="F37" s="792"/>
      <c r="G37" s="151"/>
      <c r="H37" s="151"/>
      <c r="I37" s="151"/>
      <c r="J37" s="151">
        <v>7701.43</v>
      </c>
      <c r="K37" s="151">
        <v>5590</v>
      </c>
      <c r="L37" s="151"/>
      <c r="M37" s="151">
        <f t="shared" si="1"/>
        <v>13291.43</v>
      </c>
      <c r="O37" s="182">
        <v>26000</v>
      </c>
    </row>
    <row r="38" spans="2:15" s="44" customFormat="1" ht="20.25" x14ac:dyDescent="0.2">
      <c r="B38" s="43"/>
      <c r="C38" s="47"/>
      <c r="D38" s="792" t="s">
        <v>293</v>
      </c>
      <c r="E38" s="792"/>
      <c r="F38" s="792"/>
      <c r="G38" s="151"/>
      <c r="H38" s="151"/>
      <c r="I38" s="151"/>
      <c r="J38" s="151">
        <v>7462.62</v>
      </c>
      <c r="K38" s="151">
        <v>5500</v>
      </c>
      <c r="L38" s="151"/>
      <c r="M38" s="151">
        <f t="shared" si="1"/>
        <v>12962.619999999999</v>
      </c>
      <c r="O38" s="182">
        <v>7500</v>
      </c>
    </row>
    <row r="39" spans="2:15" s="44" customFormat="1" ht="20.25" x14ac:dyDescent="0.2">
      <c r="B39" s="43"/>
      <c r="C39" s="47"/>
      <c r="D39" s="792" t="s">
        <v>218</v>
      </c>
      <c r="E39" s="792"/>
      <c r="F39" s="792"/>
      <c r="G39" s="151"/>
      <c r="H39" s="151"/>
      <c r="I39" s="151"/>
      <c r="J39" s="151">
        <v>557.5</v>
      </c>
      <c r="K39" s="151">
        <v>100</v>
      </c>
      <c r="L39" s="151"/>
      <c r="M39" s="151">
        <f t="shared" si="1"/>
        <v>657.5</v>
      </c>
      <c r="O39" s="182">
        <v>275</v>
      </c>
    </row>
    <row r="40" spans="2:15" s="44" customFormat="1" ht="20.25" x14ac:dyDescent="0.2">
      <c r="B40" s="43"/>
      <c r="C40" s="47" t="s">
        <v>439</v>
      </c>
      <c r="D40" s="47"/>
      <c r="E40" s="47"/>
      <c r="F40" s="47"/>
      <c r="G40" s="151">
        <v>27200</v>
      </c>
      <c r="H40" s="151">
        <v>11327</v>
      </c>
      <c r="I40" s="151"/>
      <c r="J40" s="151">
        <v>13648.5</v>
      </c>
      <c r="K40" s="151">
        <f>J40</f>
        <v>13648.5</v>
      </c>
      <c r="L40" s="151"/>
      <c r="M40" s="151">
        <f t="shared" si="1"/>
        <v>27297</v>
      </c>
      <c r="O40" s="182">
        <v>19430</v>
      </c>
    </row>
    <row r="41" spans="2:15" s="44" customFormat="1" ht="20.25" x14ac:dyDescent="0.2">
      <c r="B41" s="43"/>
      <c r="C41" s="47" t="s">
        <v>100</v>
      </c>
      <c r="D41" s="47"/>
      <c r="E41" s="47"/>
      <c r="F41" s="47"/>
      <c r="G41" s="151">
        <v>150176</v>
      </c>
      <c r="H41" s="182">
        <v>47700.27</v>
      </c>
      <c r="I41" s="182"/>
      <c r="J41" s="151">
        <f>J24</f>
        <v>1758</v>
      </c>
      <c r="K41" s="151">
        <f>J41</f>
        <v>1758</v>
      </c>
      <c r="L41" s="182"/>
      <c r="M41" s="151">
        <f t="shared" si="1"/>
        <v>3516</v>
      </c>
      <c r="O41" s="182">
        <f>M41</f>
        <v>3516</v>
      </c>
    </row>
    <row r="42" spans="2:15" s="44" customFormat="1" ht="20.25" x14ac:dyDescent="0.2">
      <c r="B42" s="43"/>
      <c r="C42" s="47" t="s">
        <v>301</v>
      </c>
      <c r="D42" s="47"/>
      <c r="E42" s="47"/>
      <c r="F42" s="47"/>
      <c r="G42" s="151"/>
      <c r="H42" s="182"/>
      <c r="I42" s="182"/>
      <c r="J42" s="151">
        <f>3319.32-J43</f>
        <v>2358.92</v>
      </c>
      <c r="K42" s="151">
        <f>350*6</f>
        <v>2100</v>
      </c>
      <c r="L42" s="182"/>
      <c r="M42" s="151">
        <f t="shared" si="1"/>
        <v>4458.92</v>
      </c>
      <c r="O42" s="182">
        <f>5020-O43</f>
        <v>3232</v>
      </c>
    </row>
    <row r="43" spans="2:15" s="44" customFormat="1" ht="20.25" x14ac:dyDescent="0.2">
      <c r="B43" s="43"/>
      <c r="C43" s="47" t="s">
        <v>510</v>
      </c>
      <c r="D43" s="47"/>
      <c r="E43" s="47"/>
      <c r="F43" s="47"/>
      <c r="G43" s="151"/>
      <c r="H43" s="182"/>
      <c r="I43" s="182"/>
      <c r="J43" s="151">
        <f>149*5+215.4</f>
        <v>960.4</v>
      </c>
      <c r="K43" s="151">
        <f>149*6</f>
        <v>894</v>
      </c>
      <c r="L43" s="182"/>
      <c r="M43" s="151">
        <f t="shared" si="1"/>
        <v>1854.4</v>
      </c>
      <c r="O43" s="182">
        <f>149*12</f>
        <v>1788</v>
      </c>
    </row>
    <row r="44" spans="2:15" s="44" customFormat="1" ht="20.25" x14ac:dyDescent="0.2">
      <c r="B44" s="43"/>
      <c r="C44" s="47" t="s">
        <v>220</v>
      </c>
      <c r="D44" s="47"/>
      <c r="E44" s="47"/>
      <c r="F44" s="47"/>
      <c r="G44" s="151"/>
      <c r="H44" s="182"/>
      <c r="I44" s="182"/>
      <c r="J44" s="151">
        <f>140+673</f>
        <v>813</v>
      </c>
      <c r="K44" s="151">
        <v>0</v>
      </c>
      <c r="L44" s="182"/>
      <c r="M44" s="151">
        <f t="shared" si="1"/>
        <v>813</v>
      </c>
      <c r="O44" s="182">
        <v>1525</v>
      </c>
    </row>
    <row r="45" spans="2:15" s="44" customFormat="1" ht="20.25" x14ac:dyDescent="0.2">
      <c r="B45" s="43"/>
      <c r="C45" s="47" t="s">
        <v>365</v>
      </c>
      <c r="D45" s="47"/>
      <c r="E45" s="47"/>
      <c r="F45" s="47"/>
      <c r="G45" s="151">
        <v>10993.12</v>
      </c>
      <c r="H45" s="182">
        <v>4904.57</v>
      </c>
      <c r="I45" s="182"/>
      <c r="J45" s="151">
        <v>4125.41</v>
      </c>
      <c r="K45" s="151">
        <f>J45</f>
        <v>4125.41</v>
      </c>
      <c r="L45" s="182"/>
      <c r="M45" s="151">
        <f t="shared" si="1"/>
        <v>8250.82</v>
      </c>
      <c r="O45" s="182">
        <v>8600</v>
      </c>
    </row>
    <row r="46" spans="2:15" s="44" customFormat="1" ht="20.25" x14ac:dyDescent="0.2">
      <c r="B46" s="43"/>
      <c r="C46" s="47" t="s">
        <v>221</v>
      </c>
      <c r="D46" s="47"/>
      <c r="E46" s="47"/>
      <c r="F46" s="47"/>
      <c r="G46" s="151">
        <v>10250.949999999999</v>
      </c>
      <c r="H46" s="182">
        <v>3982.99</v>
      </c>
      <c r="I46" s="182"/>
      <c r="J46" s="151">
        <f>759.4+448.66</f>
        <v>1208.06</v>
      </c>
      <c r="K46" s="151">
        <v>1000</v>
      </c>
      <c r="L46" s="182"/>
      <c r="M46" s="151">
        <f t="shared" si="1"/>
        <v>2208.06</v>
      </c>
      <c r="O46" s="182">
        <v>2110</v>
      </c>
    </row>
    <row r="47" spans="2:15" s="44" customFormat="1" ht="20.25" x14ac:dyDescent="0.2">
      <c r="B47" s="43"/>
      <c r="C47" s="47" t="s">
        <v>118</v>
      </c>
      <c r="D47" s="47"/>
      <c r="E47" s="47"/>
      <c r="F47" s="47"/>
      <c r="G47" s="151">
        <v>4412.53</v>
      </c>
      <c r="H47" s="183">
        <v>5667</v>
      </c>
      <c r="I47" s="183"/>
      <c r="J47" s="151">
        <v>2955.81</v>
      </c>
      <c r="K47" s="151">
        <f>J47+900</f>
        <v>3855.81</v>
      </c>
      <c r="L47" s="183"/>
      <c r="M47" s="151">
        <f t="shared" si="1"/>
        <v>6811.62</v>
      </c>
      <c r="O47" s="182">
        <v>4061</v>
      </c>
    </row>
    <row r="48" spans="2:15" s="44" customFormat="1" ht="20.25" x14ac:dyDescent="0.2">
      <c r="B48" s="43"/>
      <c r="C48" s="47" t="s">
        <v>116</v>
      </c>
      <c r="D48" s="47"/>
      <c r="E48" s="47"/>
      <c r="F48" s="47"/>
      <c r="G48" s="151">
        <v>7901</v>
      </c>
      <c r="H48" s="182">
        <v>4149.6000000000004</v>
      </c>
      <c r="I48" s="182"/>
      <c r="J48" s="151">
        <v>220.65</v>
      </c>
      <c r="K48" s="151">
        <v>250</v>
      </c>
      <c r="L48" s="182"/>
      <c r="M48" s="151">
        <f t="shared" si="1"/>
        <v>470.65</v>
      </c>
      <c r="O48" s="182">
        <v>530</v>
      </c>
    </row>
    <row r="49" spans="2:15" s="44" customFormat="1" ht="20.25" hidden="1" x14ac:dyDescent="0.2">
      <c r="B49" s="43"/>
      <c r="C49" s="47" t="s">
        <v>222</v>
      </c>
      <c r="D49" s="47"/>
      <c r="E49" s="47"/>
      <c r="F49" s="47"/>
      <c r="G49" s="151"/>
      <c r="H49" s="182"/>
      <c r="I49" s="182"/>
      <c r="J49" s="151"/>
      <c r="K49" s="151"/>
      <c r="L49" s="182"/>
      <c r="M49" s="151">
        <f t="shared" si="1"/>
        <v>0</v>
      </c>
      <c r="O49" s="182"/>
    </row>
    <row r="50" spans="2:15" s="44" customFormat="1" ht="20.25" x14ac:dyDescent="0.2">
      <c r="B50" s="47"/>
      <c r="C50" s="47" t="s">
        <v>112</v>
      </c>
      <c r="D50" s="47"/>
      <c r="E50" s="47"/>
      <c r="F50" s="47"/>
      <c r="G50" s="151">
        <v>5428.37</v>
      </c>
      <c r="H50" s="182">
        <v>2024.52</v>
      </c>
      <c r="I50" s="182"/>
      <c r="J50" s="151">
        <v>254</v>
      </c>
      <c r="K50" s="151">
        <f>J50</f>
        <v>254</v>
      </c>
      <c r="L50" s="182"/>
      <c r="M50" s="151">
        <f t="shared" si="1"/>
        <v>508</v>
      </c>
      <c r="O50" s="182">
        <v>340</v>
      </c>
    </row>
    <row r="51" spans="2:15" s="44" customFormat="1" ht="20.25" x14ac:dyDescent="0.2">
      <c r="B51" s="47"/>
      <c r="C51" s="47" t="s">
        <v>30</v>
      </c>
      <c r="D51" s="47"/>
      <c r="E51" s="47"/>
      <c r="F51" s="47"/>
      <c r="G51" s="151"/>
      <c r="H51" s="182"/>
      <c r="I51" s="182"/>
      <c r="J51" s="151">
        <f>'February''25 State of Activities'!G54</f>
        <v>1248.98</v>
      </c>
      <c r="K51" s="151">
        <f>624.49*6</f>
        <v>3746.94</v>
      </c>
      <c r="L51" s="182"/>
      <c r="M51" s="151">
        <f t="shared" si="1"/>
        <v>4995.92</v>
      </c>
      <c r="O51" s="182">
        <v>5933</v>
      </c>
    </row>
    <row r="52" spans="2:15" s="44" customFormat="1" ht="20.25" x14ac:dyDescent="0.2">
      <c r="B52" s="47"/>
      <c r="C52" s="47" t="s">
        <v>223</v>
      </c>
      <c r="D52" s="47"/>
      <c r="E52" s="47"/>
      <c r="F52" s="47"/>
      <c r="G52" s="151">
        <v>83462.91</v>
      </c>
      <c r="H52" s="151">
        <v>18995.71</v>
      </c>
      <c r="I52" s="151"/>
      <c r="J52" s="153">
        <f>30.2+105</f>
        <v>135.19999999999999</v>
      </c>
      <c r="K52" s="153">
        <v>1000</v>
      </c>
      <c r="L52" s="151"/>
      <c r="M52" s="153">
        <f>J52+K52</f>
        <v>1135.2</v>
      </c>
      <c r="O52" s="340">
        <v>33</v>
      </c>
    </row>
    <row r="53" spans="2:15" s="44" customFormat="1" ht="21" thickBot="1" x14ac:dyDescent="0.25">
      <c r="B53" s="43"/>
      <c r="C53" s="43"/>
      <c r="D53" s="43" t="s">
        <v>124</v>
      </c>
      <c r="E53" s="43"/>
      <c r="F53" s="43"/>
      <c r="G53" s="158">
        <v>1078317.8599999999</v>
      </c>
      <c r="H53" s="158">
        <v>481701.87000000005</v>
      </c>
      <c r="I53" s="151"/>
      <c r="J53" s="315">
        <f>SUM(J32:J52)</f>
        <v>247332.70186000003</v>
      </c>
      <c r="K53" s="315">
        <f>SUM(K32:K52)</f>
        <v>258659.07</v>
      </c>
      <c r="L53" s="151"/>
      <c r="M53" s="315">
        <f>SUM(M32:M52)</f>
        <v>505991.77186000004</v>
      </c>
      <c r="O53" s="315">
        <f>SUM(O32:O52)</f>
        <v>515039</v>
      </c>
    </row>
    <row r="54" spans="2:15" s="44" customFormat="1" ht="21" thickBot="1" x14ac:dyDescent="0.25">
      <c r="B54" s="43"/>
      <c r="C54" s="43"/>
      <c r="D54" s="43" t="s">
        <v>125</v>
      </c>
      <c r="E54" s="43"/>
      <c r="F54" s="43"/>
      <c r="G54" s="158">
        <v>233082.39000000013</v>
      </c>
      <c r="H54" s="158">
        <v>82291.709999999905</v>
      </c>
      <c r="I54" s="151"/>
      <c r="J54" s="316" t="e">
        <f>J28-J53</f>
        <v>#REF!</v>
      </c>
      <c r="K54" s="316" t="e">
        <f>K28-K53</f>
        <v>#REF!</v>
      </c>
      <c r="L54" s="151"/>
      <c r="M54" s="570" t="e">
        <f>M28-M53</f>
        <v>#REF!</v>
      </c>
      <c r="O54" s="570">
        <f>O28-O53</f>
        <v>-180955</v>
      </c>
    </row>
    <row r="55" spans="2:15" s="44" customFormat="1" ht="20.25" x14ac:dyDescent="0.2">
      <c r="B55" s="43"/>
      <c r="C55" s="43"/>
      <c r="D55" s="43"/>
      <c r="E55" s="43"/>
      <c r="F55" s="43"/>
      <c r="G55" s="151"/>
      <c r="H55" s="151"/>
      <c r="I55" s="151"/>
      <c r="J55" s="151"/>
      <c r="K55" s="151"/>
      <c r="L55" s="151"/>
      <c r="M55" s="151"/>
    </row>
    <row r="56" spans="2:15" s="41" customFormat="1" ht="26.25" x14ac:dyDescent="0.2">
      <c r="B56" s="176"/>
      <c r="C56" s="47" t="s">
        <v>524</v>
      </c>
      <c r="E56" s="47"/>
      <c r="F56" s="47"/>
      <c r="G56" s="178"/>
      <c r="H56" s="151"/>
      <c r="I56" s="151"/>
      <c r="J56" s="151">
        <f>-28362.53+J51</f>
        <v>-27113.55</v>
      </c>
      <c r="K56" s="569">
        <f>(2917*-6)+K51</f>
        <v>-13755.06</v>
      </c>
      <c r="L56" s="151"/>
      <c r="M56" s="151">
        <f>J56+K56</f>
        <v>-40868.61</v>
      </c>
      <c r="O56" s="182">
        <f>-21875</f>
        <v>-21875</v>
      </c>
    </row>
    <row r="57" spans="2:15" s="44" customFormat="1" ht="20.25" x14ac:dyDescent="0.2">
      <c r="B57" s="43"/>
      <c r="C57" s="47" t="s">
        <v>428</v>
      </c>
      <c r="E57" s="43"/>
      <c r="G57" s="151"/>
      <c r="H57" s="151"/>
      <c r="I57" s="151"/>
      <c r="J57" s="151">
        <f>J40</f>
        <v>13648.5</v>
      </c>
      <c r="K57" s="151">
        <f>K40</f>
        <v>13648.5</v>
      </c>
      <c r="L57" s="151"/>
      <c r="M57" s="151">
        <f>M40</f>
        <v>27297</v>
      </c>
      <c r="O57" s="182">
        <f>O40</f>
        <v>19430</v>
      </c>
    </row>
    <row r="58" spans="2:15" s="44" customFormat="1" ht="24" thickBot="1" x14ac:dyDescent="0.25">
      <c r="B58" s="179"/>
      <c r="C58" s="43"/>
      <c r="D58" s="795" t="s">
        <v>225</v>
      </c>
      <c r="E58" s="795"/>
      <c r="F58" s="795"/>
      <c r="G58" s="151"/>
      <c r="H58" s="151"/>
      <c r="I58" s="151"/>
      <c r="J58" s="317" t="e">
        <f>J54+J56+J57</f>
        <v>#REF!</v>
      </c>
      <c r="K58" s="317" t="e">
        <f>K54+K56+K57</f>
        <v>#REF!</v>
      </c>
      <c r="L58" s="160"/>
      <c r="M58" s="317" t="e">
        <f>M54+M56+M57</f>
        <v>#REF!</v>
      </c>
      <c r="N58" s="262"/>
      <c r="O58" s="317">
        <f>O54+O56+O57</f>
        <v>-183400</v>
      </c>
    </row>
    <row r="59" spans="2:15" s="44" customFormat="1" ht="42" customHeight="1" thickTop="1" x14ac:dyDescent="0.2">
      <c r="B59" s="43"/>
      <c r="C59" s="43"/>
      <c r="D59" s="43"/>
      <c r="E59" s="43"/>
      <c r="F59" s="43"/>
      <c r="G59" s="151"/>
      <c r="H59" s="151"/>
      <c r="I59" s="151"/>
      <c r="J59" s="151"/>
      <c r="K59" s="151"/>
      <c r="L59" s="151"/>
      <c r="M59" s="151"/>
    </row>
    <row r="60" spans="2:15" s="44" customFormat="1" ht="20.25" x14ac:dyDescent="0.2">
      <c r="B60" s="47"/>
      <c r="C60" s="47" t="s">
        <v>538</v>
      </c>
      <c r="D60" s="47"/>
      <c r="E60" s="47"/>
      <c r="F60" s="47"/>
      <c r="G60" s="151"/>
      <c r="H60" s="151"/>
      <c r="I60" s="151"/>
      <c r="J60" s="151"/>
      <c r="K60" s="151"/>
      <c r="L60" s="151"/>
      <c r="M60" s="151"/>
    </row>
    <row r="61" spans="2:15" s="44" customFormat="1" ht="20.25" x14ac:dyDescent="0.3">
      <c r="B61" s="47"/>
      <c r="C61" s="531" t="s">
        <v>450</v>
      </c>
      <c r="D61" s="34"/>
      <c r="E61" s="34"/>
      <c r="F61" s="496"/>
      <c r="G61" s="184"/>
      <c r="H61" s="184"/>
      <c r="I61" s="530"/>
      <c r="J61" s="151"/>
      <c r="K61" s="151"/>
      <c r="L61" s="151"/>
      <c r="M61" s="151"/>
    </row>
    <row r="62" spans="2:15" s="44" customFormat="1" ht="20.25" customHeight="1" x14ac:dyDescent="0.2">
      <c r="B62" s="47"/>
      <c r="C62" s="793" t="s">
        <v>451</v>
      </c>
      <c r="D62" s="793"/>
      <c r="E62" s="793"/>
      <c r="F62" s="793"/>
      <c r="G62" s="793"/>
      <c r="H62" s="793"/>
      <c r="I62" s="793"/>
      <c r="J62" s="793"/>
      <c r="K62" s="793"/>
      <c r="L62" s="793"/>
      <c r="M62" s="793"/>
      <c r="N62" s="793"/>
      <c r="O62" s="793"/>
    </row>
    <row r="63" spans="2:15" s="44" customFormat="1" ht="29.25" customHeight="1" x14ac:dyDescent="0.2">
      <c r="B63" s="47"/>
      <c r="C63" s="794" t="s">
        <v>494</v>
      </c>
      <c r="D63" s="794"/>
      <c r="E63" s="794"/>
      <c r="F63" s="794"/>
      <c r="G63" s="794"/>
      <c r="H63" s="794"/>
      <c r="I63" s="794"/>
      <c r="J63" s="794"/>
      <c r="K63" s="794"/>
      <c r="L63" s="794"/>
      <c r="M63" s="794"/>
      <c r="N63" s="794"/>
      <c r="O63" s="794"/>
    </row>
    <row r="64" spans="2:15" s="44" customFormat="1" ht="20.25" x14ac:dyDescent="0.25">
      <c r="B64" s="43"/>
      <c r="C64" s="367" t="s">
        <v>452</v>
      </c>
      <c r="D64" s="34"/>
      <c r="E64" s="34"/>
      <c r="F64" s="496"/>
      <c r="G64" s="530"/>
      <c r="H64" s="530"/>
      <c r="I64" s="530"/>
      <c r="J64" s="154"/>
      <c r="K64" s="154"/>
      <c r="L64" s="154"/>
      <c r="M64" s="154"/>
    </row>
    <row r="65" spans="3:15" s="44" customFormat="1" ht="20.25" x14ac:dyDescent="0.25">
      <c r="C65" s="367" t="s">
        <v>492</v>
      </c>
      <c r="D65" s="34"/>
      <c r="E65" s="34"/>
      <c r="F65" s="496"/>
      <c r="G65" s="530"/>
      <c r="H65" s="530"/>
      <c r="I65" s="530"/>
      <c r="J65" s="154"/>
      <c r="K65" s="154"/>
      <c r="L65" s="154"/>
      <c r="M65" s="154"/>
    </row>
    <row r="66" spans="3:15" s="44" customFormat="1" ht="23.25" customHeight="1" x14ac:dyDescent="0.2">
      <c r="C66" s="793" t="s">
        <v>493</v>
      </c>
      <c r="D66" s="793"/>
      <c r="E66" s="793"/>
      <c r="F66" s="793"/>
      <c r="G66" s="793"/>
      <c r="H66" s="793"/>
      <c r="I66" s="793"/>
      <c r="J66" s="793"/>
      <c r="K66" s="793"/>
      <c r="L66" s="793"/>
      <c r="M66" s="793"/>
      <c r="N66" s="793"/>
      <c r="O66" s="793"/>
    </row>
    <row r="67" spans="3:15" s="44" customFormat="1" ht="20.25" x14ac:dyDescent="0.25">
      <c r="C67" s="185" t="s">
        <v>483</v>
      </c>
      <c r="D67" s="34"/>
      <c r="E67" s="34"/>
      <c r="F67" s="496"/>
      <c r="G67" s="530"/>
      <c r="H67" s="530"/>
      <c r="I67" s="530"/>
      <c r="J67" s="151"/>
      <c r="K67" s="151"/>
      <c r="L67" s="151"/>
      <c r="M67" s="151"/>
    </row>
    <row r="68" spans="3:15" s="44" customFormat="1" ht="20.25" x14ac:dyDescent="0.25">
      <c r="C68" s="185">
        <v>1</v>
      </c>
      <c r="D68" s="185" t="s">
        <v>484</v>
      </c>
      <c r="E68" s="34"/>
      <c r="F68" s="496"/>
      <c r="G68" s="530"/>
      <c r="H68" s="530"/>
      <c r="I68" s="530"/>
      <c r="J68" s="151"/>
      <c r="K68" s="151"/>
      <c r="L68" s="151"/>
      <c r="M68" s="151"/>
    </row>
    <row r="69" spans="3:15" s="44" customFormat="1" ht="20.25" x14ac:dyDescent="0.25">
      <c r="C69" s="185">
        <v>2</v>
      </c>
      <c r="D69" s="185" t="s">
        <v>490</v>
      </c>
      <c r="E69" s="34"/>
      <c r="F69" s="496"/>
      <c r="G69"/>
      <c r="H69"/>
      <c r="I69"/>
      <c r="J69" s="151"/>
      <c r="K69" s="151"/>
      <c r="L69" s="151"/>
      <c r="M69" s="151"/>
    </row>
    <row r="70" spans="3:15" s="44" customFormat="1" ht="20.25" x14ac:dyDescent="0.25">
      <c r="C70" s="185">
        <v>3</v>
      </c>
      <c r="D70" s="185" t="s">
        <v>491</v>
      </c>
      <c r="E70" s="34"/>
      <c r="F70" s="496"/>
      <c r="G70"/>
      <c r="H70"/>
      <c r="I70"/>
      <c r="J70" s="154"/>
      <c r="K70" s="154"/>
      <c r="L70" s="154"/>
      <c r="M70" s="154"/>
    </row>
    <row r="71" spans="3:15" s="44" customFormat="1" ht="20.25" x14ac:dyDescent="0.25">
      <c r="C71" s="185">
        <v>4</v>
      </c>
      <c r="D71" s="185" t="s">
        <v>486</v>
      </c>
      <c r="E71" s="34"/>
      <c r="F71" s="496"/>
      <c r="G71"/>
      <c r="H71"/>
      <c r="I71"/>
      <c r="J71" s="151"/>
      <c r="K71" s="151"/>
      <c r="L71" s="151"/>
      <c r="M71" s="151"/>
    </row>
    <row r="72" spans="3:15" s="51" customFormat="1" ht="26.25" x14ac:dyDescent="0.25">
      <c r="C72" s="185" t="s">
        <v>485</v>
      </c>
      <c r="D72" s="185"/>
      <c r="E72" s="34"/>
      <c r="F72" s="496"/>
      <c r="G72"/>
      <c r="H72"/>
      <c r="I72"/>
      <c r="J72" s="154"/>
      <c r="K72" s="154"/>
      <c r="L72" s="154"/>
      <c r="M72" s="154"/>
    </row>
    <row r="73" spans="3:15" ht="20.25" x14ac:dyDescent="0.3">
      <c r="C73" s="185" t="s">
        <v>488</v>
      </c>
      <c r="D73" s="185"/>
      <c r="F73" s="496"/>
      <c r="G73"/>
      <c r="J73" s="184"/>
      <c r="K73" s="184"/>
      <c r="L73" s="184"/>
      <c r="M73" s="184"/>
    </row>
    <row r="74" spans="3:15" ht="20.25" x14ac:dyDescent="0.3">
      <c r="C74" s="185">
        <v>1</v>
      </c>
      <c r="D74" s="185" t="s">
        <v>487</v>
      </c>
      <c r="F74" s="74"/>
      <c r="G74"/>
      <c r="J74" s="184"/>
      <c r="K74" s="184"/>
      <c r="L74" s="184"/>
      <c r="M74" s="184"/>
    </row>
    <row r="75" spans="3:15" ht="20.25" x14ac:dyDescent="0.3">
      <c r="C75" s="185">
        <v>2</v>
      </c>
      <c r="D75" s="185" t="s">
        <v>489</v>
      </c>
      <c r="F75" s="74"/>
      <c r="G75"/>
      <c r="J75" s="184"/>
      <c r="K75" s="184"/>
      <c r="L75" s="184"/>
      <c r="M75" s="184"/>
    </row>
    <row r="76" spans="3:15" ht="20.25" x14ac:dyDescent="0.3">
      <c r="C76" s="185" t="s">
        <v>485</v>
      </c>
      <c r="D76" s="185"/>
      <c r="G76"/>
      <c r="J76" s="181"/>
      <c r="K76" s="181"/>
      <c r="L76" s="181"/>
      <c r="M76" s="181"/>
    </row>
    <row r="77" spans="3:15" x14ac:dyDescent="0.2">
      <c r="C77" s="185" t="s">
        <v>501</v>
      </c>
      <c r="D77" s="185"/>
      <c r="G77"/>
    </row>
    <row r="78" spans="3:15" x14ac:dyDescent="0.2">
      <c r="C78" s="185" t="s">
        <v>502</v>
      </c>
      <c r="D78" s="185"/>
      <c r="G78"/>
    </row>
  </sheetData>
  <mergeCells count="13">
    <mergeCell ref="C62:O62"/>
    <mergeCell ref="C63:O63"/>
    <mergeCell ref="C66:O66"/>
    <mergeCell ref="J6:M6"/>
    <mergeCell ref="C23:F23"/>
    <mergeCell ref="D32:F32"/>
    <mergeCell ref="D33:F33"/>
    <mergeCell ref="D34:F34"/>
    <mergeCell ref="D36:F36"/>
    <mergeCell ref="D37:F37"/>
    <mergeCell ref="D38:F38"/>
    <mergeCell ref="D39:F39"/>
    <mergeCell ref="D58:F58"/>
  </mergeCells>
  <pageMargins left="0.7" right="0.7" top="0.75" bottom="0.75" header="0.3" footer="0.3"/>
  <pageSetup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16"/>
  <sheetViews>
    <sheetView zoomScale="75" zoomScaleNormal="75" workbookViewId="0">
      <selection activeCell="S11" sqref="S11"/>
    </sheetView>
  </sheetViews>
  <sheetFormatPr defaultRowHeight="14.25" x14ac:dyDescent="0.2"/>
  <cols>
    <col min="1" max="1" width="2.875" customWidth="1"/>
    <col min="2" max="2" width="8.125" customWidth="1"/>
    <col min="3" max="3" width="8.75" customWidth="1"/>
    <col min="4" max="4" width="5.75" customWidth="1"/>
    <col min="5" max="5" width="2.875" customWidth="1"/>
    <col min="6" max="6" width="51.375" bestFit="1" customWidth="1"/>
    <col min="7" max="7" width="24.25" customWidth="1"/>
    <col min="8" max="10" width="24.125" customWidth="1"/>
    <col min="11" max="11" width="22.875" bestFit="1" customWidth="1"/>
  </cols>
  <sheetData>
    <row r="1" spans="1:11" ht="26.25" x14ac:dyDescent="0.4">
      <c r="A1" s="35" t="s">
        <v>90</v>
      </c>
      <c r="B1" s="36"/>
      <c r="C1" s="37"/>
      <c r="D1" s="37"/>
      <c r="E1" s="37"/>
      <c r="F1" s="36"/>
      <c r="G1" s="36"/>
      <c r="H1" s="36"/>
      <c r="I1" s="36"/>
      <c r="J1" s="36"/>
      <c r="K1" s="36"/>
    </row>
    <row r="2" spans="1:11" ht="26.25" x14ac:dyDescent="0.4">
      <c r="A2" s="35" t="s">
        <v>206</v>
      </c>
      <c r="B2" s="36"/>
      <c r="C2" s="37"/>
      <c r="D2" s="37"/>
      <c r="E2" s="37"/>
      <c r="F2" s="36"/>
      <c r="G2" s="36"/>
      <c r="H2" s="36"/>
      <c r="I2" s="36"/>
      <c r="J2" s="36"/>
      <c r="K2" s="36"/>
    </row>
    <row r="3" spans="1:11" ht="26.25" x14ac:dyDescent="0.4">
      <c r="A3" s="35" t="s">
        <v>453</v>
      </c>
      <c r="B3" s="36"/>
      <c r="C3" s="37"/>
      <c r="D3" s="37"/>
      <c r="E3" s="37"/>
      <c r="F3" s="36"/>
      <c r="G3" s="36"/>
      <c r="H3" s="36"/>
      <c r="I3" s="36"/>
      <c r="J3" s="36"/>
      <c r="K3" s="36"/>
    </row>
    <row r="4" spans="1:11" ht="21" thickBot="1" x14ac:dyDescent="0.25">
      <c r="A4" s="38"/>
      <c r="B4" s="38"/>
      <c r="C4" s="38"/>
      <c r="D4" s="38"/>
      <c r="E4" s="38"/>
      <c r="F4" s="38"/>
      <c r="G4" s="38"/>
      <c r="H4" s="38"/>
      <c r="I4" s="38"/>
      <c r="J4" s="39"/>
      <c r="K4" s="222"/>
    </row>
    <row r="5" spans="1:11" ht="27.75" thickTop="1" thickBot="1" x14ac:dyDescent="0.25">
      <c r="A5" s="40" t="s">
        <v>104</v>
      </c>
      <c r="B5" s="40"/>
      <c r="C5" s="40"/>
      <c r="D5" s="40"/>
      <c r="E5" s="40"/>
      <c r="F5" s="40"/>
      <c r="G5" s="40"/>
      <c r="H5" s="40"/>
      <c r="I5" s="40"/>
      <c r="J5" s="269"/>
      <c r="K5" s="536"/>
    </row>
    <row r="6" spans="1:11" ht="21" thickTop="1" x14ac:dyDescent="0.2">
      <c r="A6" s="43"/>
      <c r="B6" s="43"/>
      <c r="C6" s="43"/>
      <c r="D6" s="43"/>
      <c r="E6" s="43"/>
      <c r="F6" s="43"/>
      <c r="G6" s="43"/>
      <c r="H6" s="43"/>
      <c r="I6" s="43"/>
      <c r="J6" s="44"/>
      <c r="K6" s="44"/>
    </row>
    <row r="7" spans="1:11" ht="21" thickBot="1" x14ac:dyDescent="0.35">
      <c r="A7" s="45"/>
      <c r="B7" s="98" t="s">
        <v>96</v>
      </c>
      <c r="C7" s="98"/>
      <c r="D7" s="98"/>
      <c r="E7" s="98"/>
      <c r="F7" s="98"/>
      <c r="G7" s="449">
        <v>43465</v>
      </c>
      <c r="H7" s="449">
        <v>43830</v>
      </c>
      <c r="I7" s="449">
        <v>44196</v>
      </c>
      <c r="J7" s="449">
        <v>44561</v>
      </c>
      <c r="K7" s="449">
        <v>44926</v>
      </c>
    </row>
    <row r="8" spans="1:11" ht="20.25" x14ac:dyDescent="0.2">
      <c r="A8" s="43"/>
      <c r="B8" s="43"/>
      <c r="C8" s="47" t="s">
        <v>146</v>
      </c>
      <c r="D8" s="47"/>
      <c r="E8" s="47"/>
      <c r="F8" s="43"/>
      <c r="G8" s="160">
        <f>153461+3123</f>
        <v>156584</v>
      </c>
      <c r="H8" s="160">
        <v>158721</v>
      </c>
      <c r="I8" s="160">
        <f>68070.06</f>
        <v>68070.06</v>
      </c>
      <c r="J8" s="160">
        <v>85646.89</v>
      </c>
      <c r="K8" s="160">
        <v>84478</v>
      </c>
    </row>
    <row r="9" spans="1:11" ht="20.25" x14ac:dyDescent="0.2">
      <c r="A9" s="43"/>
      <c r="B9" s="43"/>
      <c r="C9" s="47" t="s">
        <v>207</v>
      </c>
      <c r="D9" s="47"/>
      <c r="E9" s="47"/>
      <c r="F9" s="43"/>
      <c r="G9" s="151">
        <v>20332</v>
      </c>
      <c r="H9" s="151">
        <v>12278.42</v>
      </c>
      <c r="I9" s="151">
        <v>16169.1</v>
      </c>
      <c r="J9" s="151">
        <v>34505.879999999997</v>
      </c>
      <c r="K9" s="151">
        <v>13806</v>
      </c>
    </row>
    <row r="10" spans="1:11" ht="20.25" x14ac:dyDescent="0.2">
      <c r="A10" s="43"/>
      <c r="B10" s="43"/>
      <c r="C10" s="47" t="s">
        <v>372</v>
      </c>
      <c r="D10" s="47"/>
      <c r="E10" s="47"/>
      <c r="F10" s="43"/>
      <c r="G10" s="151"/>
      <c r="H10" s="151">
        <v>10616</v>
      </c>
      <c r="I10" s="151">
        <v>3260</v>
      </c>
      <c r="J10" s="151">
        <v>0</v>
      </c>
      <c r="K10" s="151">
        <v>32978</v>
      </c>
    </row>
    <row r="11" spans="1:11" ht="20.25" x14ac:dyDescent="0.2">
      <c r="A11" s="43"/>
      <c r="B11" s="43"/>
      <c r="C11" s="47" t="s">
        <v>98</v>
      </c>
      <c r="D11" s="47"/>
      <c r="E11" s="47"/>
      <c r="F11" s="43"/>
      <c r="G11" s="151"/>
      <c r="H11" s="151"/>
      <c r="I11" s="151"/>
      <c r="J11" s="151"/>
      <c r="K11" s="151"/>
    </row>
    <row r="12" spans="1:11" ht="20.25" x14ac:dyDescent="0.2">
      <c r="A12" s="43"/>
      <c r="B12" s="43"/>
      <c r="C12" s="44"/>
      <c r="D12" s="47" t="s">
        <v>208</v>
      </c>
      <c r="E12" s="47"/>
      <c r="F12" s="43"/>
      <c r="G12" s="151">
        <v>42500</v>
      </c>
      <c r="H12" s="151">
        <v>44499.96</v>
      </c>
      <c r="I12" s="151">
        <f>3750*12</f>
        <v>45000</v>
      </c>
      <c r="J12" s="151">
        <v>45500</v>
      </c>
      <c r="K12" s="151">
        <v>46000</v>
      </c>
    </row>
    <row r="13" spans="1:11" ht="20.25" x14ac:dyDescent="0.2">
      <c r="A13" s="43"/>
      <c r="B13" s="43"/>
      <c r="C13" s="44"/>
      <c r="D13" s="47" t="s">
        <v>154</v>
      </c>
      <c r="E13" s="47"/>
      <c r="F13" s="43"/>
      <c r="G13" s="151">
        <v>9000</v>
      </c>
      <c r="H13" s="151">
        <v>13000</v>
      </c>
      <c r="I13" s="151">
        <v>18000</v>
      </c>
      <c r="J13" s="151">
        <v>18000</v>
      </c>
      <c r="K13" s="151">
        <v>18000</v>
      </c>
    </row>
    <row r="14" spans="1:11" ht="20.25" x14ac:dyDescent="0.2">
      <c r="A14" s="43"/>
      <c r="B14" s="43"/>
      <c r="C14" s="47" t="s">
        <v>99</v>
      </c>
      <c r="D14" s="47"/>
      <c r="E14" s="47"/>
      <c r="F14" s="43"/>
      <c r="G14" s="151">
        <v>12796</v>
      </c>
      <c r="H14" s="151">
        <v>13071.46</v>
      </c>
      <c r="I14" s="151">
        <v>12695.06</v>
      </c>
      <c r="J14" s="151">
        <v>17445.740000000002</v>
      </c>
      <c r="K14" s="151">
        <v>17485</v>
      </c>
    </row>
    <row r="15" spans="1:11" ht="20.25" x14ac:dyDescent="0.2">
      <c r="A15" s="43"/>
      <c r="B15" s="43"/>
      <c r="C15" s="47" t="s">
        <v>454</v>
      </c>
      <c r="D15" s="47"/>
      <c r="E15" s="47"/>
      <c r="F15" s="43"/>
      <c r="G15" s="151">
        <f>25000</f>
        <v>25000</v>
      </c>
      <c r="H15" s="151">
        <v>71886</v>
      </c>
      <c r="I15" s="151">
        <v>77911.459999999992</v>
      </c>
      <c r="J15" s="151">
        <v>80378.48</v>
      </c>
      <c r="K15" s="151">
        <f>27500+3340</f>
        <v>30840</v>
      </c>
    </row>
    <row r="16" spans="1:11" ht="20.25" x14ac:dyDescent="0.2">
      <c r="A16" s="43"/>
      <c r="B16" s="43"/>
      <c r="C16" s="47" t="s">
        <v>334</v>
      </c>
      <c r="D16" s="47"/>
      <c r="E16" s="47"/>
      <c r="F16" s="43"/>
      <c r="G16" s="151">
        <f>659</f>
        <v>659</v>
      </c>
      <c r="H16" s="151">
        <v>7946</v>
      </c>
      <c r="I16" s="151">
        <v>255.74</v>
      </c>
      <c r="J16" s="151">
        <v>3312.47</v>
      </c>
      <c r="K16" s="151"/>
    </row>
    <row r="17" spans="2:11" ht="21" thickBot="1" x14ac:dyDescent="0.25">
      <c r="B17" s="43"/>
      <c r="C17" s="47" t="s">
        <v>210</v>
      </c>
      <c r="D17" s="47"/>
      <c r="E17" s="47"/>
      <c r="F17" s="43"/>
      <c r="G17" s="158">
        <v>9315</v>
      </c>
      <c r="H17" s="158">
        <v>9315</v>
      </c>
      <c r="I17" s="158">
        <v>9315</v>
      </c>
      <c r="J17" s="158">
        <v>10548</v>
      </c>
      <c r="K17" s="158">
        <v>10548</v>
      </c>
    </row>
    <row r="18" spans="2:11" ht="20.25" x14ac:dyDescent="0.2">
      <c r="B18" s="43"/>
      <c r="C18" s="47"/>
      <c r="D18" s="43" t="s">
        <v>101</v>
      </c>
      <c r="E18" s="47"/>
      <c r="F18" s="43"/>
      <c r="G18" s="151">
        <f>SUM(G8:G17)</f>
        <v>276186</v>
      </c>
      <c r="H18" s="151">
        <f>SUM(H8:H17)</f>
        <v>341333.83999999997</v>
      </c>
      <c r="I18" s="151">
        <f>SUM(I8:I17)</f>
        <v>250676.41999999998</v>
      </c>
      <c r="J18" s="151">
        <f>SUM(J8:J17)</f>
        <v>295337.45999999996</v>
      </c>
      <c r="K18" s="151">
        <f>SUM(K8:K17)</f>
        <v>254135</v>
      </c>
    </row>
    <row r="19" spans="2:11" ht="20.25" x14ac:dyDescent="0.2">
      <c r="B19" s="43"/>
      <c r="C19" s="43" t="s">
        <v>211</v>
      </c>
      <c r="D19" s="47"/>
      <c r="E19" s="47"/>
      <c r="F19" s="43"/>
      <c r="G19" s="151">
        <v>19000</v>
      </c>
      <c r="H19" s="151">
        <v>19000</v>
      </c>
      <c r="I19" s="151">
        <v>19000</v>
      </c>
      <c r="J19" s="151">
        <v>18500</v>
      </c>
      <c r="K19" s="151">
        <f>13333/8*12</f>
        <v>19999.5</v>
      </c>
    </row>
    <row r="20" spans="2:11" ht="21" thickBot="1" x14ac:dyDescent="0.25">
      <c r="B20" s="43"/>
      <c r="C20" s="43" t="s">
        <v>212</v>
      </c>
      <c r="D20" s="47"/>
      <c r="E20" s="47"/>
      <c r="F20" s="43"/>
      <c r="G20" s="158">
        <v>37641</v>
      </c>
      <c r="H20" s="158">
        <v>37834</v>
      </c>
      <c r="I20" s="158">
        <v>34669.31</v>
      </c>
      <c r="J20" s="158">
        <v>26400.720000000001</v>
      </c>
      <c r="K20" s="158">
        <v>43041</v>
      </c>
    </row>
    <row r="21" spans="2:11" ht="20.25" x14ac:dyDescent="0.2">
      <c r="B21" s="43"/>
      <c r="C21" s="47"/>
      <c r="D21" s="43" t="s">
        <v>103</v>
      </c>
      <c r="E21" s="47"/>
      <c r="F21" s="43"/>
      <c r="G21" s="151">
        <f>SUM(G18:G20)</f>
        <v>332827</v>
      </c>
      <c r="H21" s="151">
        <f>SUM(H18:H20)</f>
        <v>398167.83999999997</v>
      </c>
      <c r="I21" s="151">
        <f>SUM(I18:I20)</f>
        <v>304345.73</v>
      </c>
      <c r="J21" s="151">
        <f>SUM(J18:J20)</f>
        <v>340238.17999999993</v>
      </c>
      <c r="K21" s="151">
        <f>SUM(K18:K20)</f>
        <v>317175.5</v>
      </c>
    </row>
    <row r="22" spans="2:11" ht="20.25" x14ac:dyDescent="0.2">
      <c r="B22" s="43"/>
      <c r="C22" s="47"/>
      <c r="D22" s="43"/>
      <c r="E22" s="47"/>
      <c r="F22" s="43" t="s">
        <v>455</v>
      </c>
      <c r="G22" s="151"/>
      <c r="H22" s="151">
        <v>-46886</v>
      </c>
      <c r="I22" s="151"/>
      <c r="J22" s="151"/>
      <c r="K22" s="151"/>
    </row>
    <row r="23" spans="2:11" ht="20.25" x14ac:dyDescent="0.2">
      <c r="B23" s="43"/>
      <c r="C23" s="47"/>
      <c r="D23" s="43" t="s">
        <v>456</v>
      </c>
      <c r="E23" s="47"/>
      <c r="F23" s="43"/>
      <c r="G23" s="151"/>
      <c r="H23" s="151">
        <f>SUM(H21:H22)</f>
        <v>351281.83999999997</v>
      </c>
      <c r="I23" s="151"/>
      <c r="J23" s="151"/>
      <c r="K23" s="151"/>
    </row>
    <row r="24" spans="2:11" ht="20.25" x14ac:dyDescent="0.2">
      <c r="B24" s="43"/>
      <c r="C24" s="47"/>
      <c r="D24" s="43"/>
      <c r="E24" s="47"/>
      <c r="F24" s="43"/>
      <c r="G24" s="43"/>
      <c r="H24" s="43"/>
      <c r="I24" s="43"/>
      <c r="J24" s="406"/>
      <c r="K24" s="406"/>
    </row>
    <row r="25" spans="2:11" ht="21" thickBot="1" x14ac:dyDescent="0.25">
      <c r="B25" s="55" t="s">
        <v>107</v>
      </c>
      <c r="C25" s="55"/>
      <c r="D25" s="55"/>
      <c r="E25" s="55"/>
      <c r="F25" s="55"/>
      <c r="G25" s="43"/>
      <c r="H25" s="43"/>
      <c r="I25" s="43"/>
      <c r="J25" s="44"/>
      <c r="K25" s="44"/>
    </row>
    <row r="26" spans="2:11" ht="20.25" x14ac:dyDescent="0.2">
      <c r="B26" s="43"/>
      <c r="C26" s="47" t="s">
        <v>213</v>
      </c>
      <c r="D26" s="47"/>
      <c r="E26" s="47"/>
      <c r="F26" s="47"/>
      <c r="G26" s="47"/>
      <c r="H26" s="47"/>
      <c r="I26" s="47"/>
      <c r="J26" s="182"/>
      <c r="K26" s="182"/>
    </row>
    <row r="27" spans="2:11" ht="20.25" x14ac:dyDescent="0.2">
      <c r="B27" s="43"/>
      <c r="C27" s="47"/>
      <c r="D27" s="792" t="s">
        <v>214</v>
      </c>
      <c r="E27" s="792"/>
      <c r="F27" s="792"/>
      <c r="G27" s="151">
        <v>146508</v>
      </c>
      <c r="H27" s="151">
        <v>162253.75</v>
      </c>
      <c r="I27" s="151">
        <v>133830.65</v>
      </c>
      <c r="J27" s="151">
        <v>155035.70000000001</v>
      </c>
      <c r="K27" s="151">
        <v>205058</v>
      </c>
    </row>
    <row r="28" spans="2:11" ht="20.25" x14ac:dyDescent="0.2">
      <c r="B28" s="43"/>
      <c r="C28" s="47"/>
      <c r="D28" s="792" t="s">
        <v>215</v>
      </c>
      <c r="E28" s="792"/>
      <c r="F28" s="792"/>
      <c r="G28" s="151">
        <v>59928</v>
      </c>
      <c r="H28" s="151">
        <f>37966.12+23862.63+605.03+106.59</f>
        <v>62540.369999999995</v>
      </c>
      <c r="I28" s="151">
        <f>44061.17+21220.39</f>
        <v>65281.56</v>
      </c>
      <c r="J28" s="151">
        <f>43631.85+27917.65</f>
        <v>71549.5</v>
      </c>
      <c r="K28" s="151">
        <v>78236</v>
      </c>
    </row>
    <row r="29" spans="2:11" ht="20.25" x14ac:dyDescent="0.2">
      <c r="B29" s="43"/>
      <c r="C29" s="47"/>
      <c r="D29" s="792" t="s">
        <v>109</v>
      </c>
      <c r="E29" s="792"/>
      <c r="F29" s="792"/>
      <c r="G29" s="151">
        <v>39636</v>
      </c>
      <c r="H29" s="151">
        <v>42279.58</v>
      </c>
      <c r="I29" s="151">
        <v>36601</v>
      </c>
      <c r="J29" s="151">
        <f>J27*0.213+J28*0.14</f>
        <v>43039.534100000004</v>
      </c>
      <c r="K29" s="151">
        <f>K27*0.213+K28*0.14</f>
        <v>54630.394</v>
      </c>
    </row>
    <row r="30" spans="2:11" ht="20.25" x14ac:dyDescent="0.2">
      <c r="B30" s="43"/>
      <c r="C30" s="47" t="s">
        <v>268</v>
      </c>
      <c r="D30" s="47"/>
      <c r="E30" s="47"/>
      <c r="F30" s="47"/>
      <c r="G30" s="500"/>
      <c r="H30" s="500"/>
      <c r="I30" s="500"/>
      <c r="J30" s="500"/>
      <c r="K30" s="500"/>
    </row>
    <row r="31" spans="2:11" ht="20.25" x14ac:dyDescent="0.2">
      <c r="B31" s="43"/>
      <c r="C31" s="47"/>
      <c r="D31" s="792" t="s">
        <v>216</v>
      </c>
      <c r="E31" s="792"/>
      <c r="F31" s="792"/>
      <c r="G31" s="151">
        <v>27184</v>
      </c>
      <c r="H31" s="151">
        <v>25472.83</v>
      </c>
      <c r="I31" s="151">
        <v>15135.29</v>
      </c>
      <c r="J31" s="151">
        <v>25112.19</v>
      </c>
      <c r="K31" s="151">
        <v>37937</v>
      </c>
    </row>
    <row r="32" spans="2:11" ht="20.25" x14ac:dyDescent="0.2">
      <c r="B32" s="43"/>
      <c r="C32" s="47"/>
      <c r="D32" s="792" t="s">
        <v>217</v>
      </c>
      <c r="E32" s="792"/>
      <c r="F32" s="792"/>
      <c r="G32" s="151">
        <v>15511</v>
      </c>
      <c r="H32" s="151">
        <v>17989.87</v>
      </c>
      <c r="I32" s="151">
        <v>22636.98</v>
      </c>
      <c r="J32" s="151">
        <v>23957.25</v>
      </c>
      <c r="K32" s="151">
        <v>25355</v>
      </c>
    </row>
    <row r="33" spans="2:11" ht="20.25" x14ac:dyDescent="0.2">
      <c r="B33" s="43"/>
      <c r="C33" s="47"/>
      <c r="D33" s="792" t="s">
        <v>293</v>
      </c>
      <c r="E33" s="792"/>
      <c r="F33" s="792"/>
      <c r="G33" s="151">
        <v>12450</v>
      </c>
      <c r="H33" s="151">
        <v>16090.9</v>
      </c>
      <c r="I33" s="151">
        <v>11030.88</v>
      </c>
      <c r="J33" s="151">
        <v>19504.66</v>
      </c>
      <c r="K33" s="151">
        <v>10952</v>
      </c>
    </row>
    <row r="34" spans="2:11" ht="20.25" x14ac:dyDescent="0.2">
      <c r="B34" s="43"/>
      <c r="C34" s="47"/>
      <c r="D34" s="792" t="s">
        <v>218</v>
      </c>
      <c r="E34" s="792"/>
      <c r="F34" s="792"/>
      <c r="G34" s="151">
        <v>377</v>
      </c>
      <c r="H34" s="151">
        <v>1427.75</v>
      </c>
      <c r="I34" s="151">
        <v>397</v>
      </c>
      <c r="J34" s="151">
        <v>663</v>
      </c>
      <c r="K34" s="151">
        <v>744</v>
      </c>
    </row>
    <row r="35" spans="2:11" ht="20.25" x14ac:dyDescent="0.2">
      <c r="B35" s="43"/>
      <c r="C35" s="47" t="s">
        <v>439</v>
      </c>
      <c r="D35" s="47"/>
      <c r="E35" s="47"/>
      <c r="F35" s="47"/>
      <c r="G35" s="151">
        <v>25080</v>
      </c>
      <c r="H35" s="151">
        <f>22438.68+1591</f>
        <v>24029.68</v>
      </c>
      <c r="I35" s="151">
        <f>29909+1860</f>
        <v>31769</v>
      </c>
      <c r="J35" s="151">
        <f>1903+28481</f>
        <v>30384</v>
      </c>
      <c r="K35" s="151">
        <v>31133</v>
      </c>
    </row>
    <row r="36" spans="2:11" ht="20.25" x14ac:dyDescent="0.2">
      <c r="B36" s="43"/>
      <c r="C36" s="47" t="s">
        <v>100</v>
      </c>
      <c r="D36" s="47"/>
      <c r="E36" s="47"/>
      <c r="F36" s="47"/>
      <c r="G36" s="151">
        <f>G17</f>
        <v>9315</v>
      </c>
      <c r="H36" s="151">
        <f>H17</f>
        <v>9315</v>
      </c>
      <c r="I36" s="151">
        <f>I17</f>
        <v>9315</v>
      </c>
      <c r="J36" s="151">
        <f>J17</f>
        <v>10548</v>
      </c>
      <c r="K36" s="151">
        <f>K17</f>
        <v>10548</v>
      </c>
    </row>
    <row r="37" spans="2:11" ht="20.25" x14ac:dyDescent="0.2">
      <c r="B37" s="43"/>
      <c r="C37" s="47" t="s">
        <v>520</v>
      </c>
      <c r="D37" s="47"/>
      <c r="E37" s="47"/>
      <c r="F37" s="47"/>
      <c r="G37" s="151">
        <v>4075</v>
      </c>
      <c r="H37" s="151">
        <v>4497</v>
      </c>
      <c r="I37" s="151">
        <v>4682.25</v>
      </c>
      <c r="J37" s="151">
        <v>4231.88</v>
      </c>
      <c r="K37" s="151">
        <f>3948.9+400+400+447</f>
        <v>5195.8999999999996</v>
      </c>
    </row>
    <row r="38" spans="2:11" ht="20.25" x14ac:dyDescent="0.2">
      <c r="B38" s="43"/>
      <c r="C38" s="47" t="s">
        <v>220</v>
      </c>
      <c r="D38" s="47"/>
      <c r="E38" s="47"/>
      <c r="F38" s="47"/>
      <c r="G38" s="151">
        <v>1496</v>
      </c>
      <c r="H38" s="151">
        <f>75+874</f>
        <v>949</v>
      </c>
      <c r="I38" s="151">
        <v>982</v>
      </c>
      <c r="J38" s="151">
        <f>99+937</f>
        <v>1036</v>
      </c>
      <c r="K38" s="151">
        <v>2293</v>
      </c>
    </row>
    <row r="39" spans="2:11" ht="20.25" x14ac:dyDescent="0.2">
      <c r="B39" s="43"/>
      <c r="C39" s="47" t="s">
        <v>365</v>
      </c>
      <c r="D39" s="47"/>
      <c r="E39" s="47"/>
      <c r="F39" s="47"/>
      <c r="G39" s="151">
        <v>3430</v>
      </c>
      <c r="H39" s="151">
        <v>4436.1400000000003</v>
      </c>
      <c r="I39" s="151">
        <v>7774.44</v>
      </c>
      <c r="J39" s="151">
        <f>7884.62+184.74</f>
        <v>8069.36</v>
      </c>
      <c r="K39" s="151">
        <v>8659</v>
      </c>
    </row>
    <row r="40" spans="2:11" ht="20.25" x14ac:dyDescent="0.2">
      <c r="B40" s="43"/>
      <c r="C40" s="47" t="s">
        <v>221</v>
      </c>
      <c r="D40" s="47"/>
      <c r="E40" s="47"/>
      <c r="F40" s="47"/>
      <c r="G40" s="151">
        <v>459</v>
      </c>
      <c r="H40" s="151">
        <f>223.01+568.51</f>
        <v>791.52</v>
      </c>
      <c r="I40" s="151">
        <v>636.94000000000005</v>
      </c>
      <c r="J40" s="151">
        <f>958.23+28.31+10.3+36.4+4907.37</f>
        <v>5940.61</v>
      </c>
      <c r="K40" s="151">
        <v>1734</v>
      </c>
    </row>
    <row r="41" spans="2:11" ht="20.25" x14ac:dyDescent="0.2">
      <c r="B41" s="43"/>
      <c r="C41" s="47" t="s">
        <v>118</v>
      </c>
      <c r="D41" s="47"/>
      <c r="E41" s="47"/>
      <c r="F41" s="47"/>
      <c r="G41" s="151">
        <v>1041</v>
      </c>
      <c r="H41" s="151">
        <v>1826.56</v>
      </c>
      <c r="I41" s="151">
        <v>2528.2399999999998</v>
      </c>
      <c r="J41" s="151">
        <v>3426.72</v>
      </c>
      <c r="K41" s="151">
        <v>5037</v>
      </c>
    </row>
    <row r="42" spans="2:11" ht="20.25" x14ac:dyDescent="0.2">
      <c r="B42" s="43"/>
      <c r="C42" s="47" t="s">
        <v>116</v>
      </c>
      <c r="D42" s="47"/>
      <c r="E42" s="47"/>
      <c r="F42" s="47"/>
      <c r="G42" s="151">
        <v>436</v>
      </c>
      <c r="H42" s="151">
        <v>396.82</v>
      </c>
      <c r="I42" s="151">
        <v>385.18</v>
      </c>
      <c r="J42" s="151">
        <v>420.52</v>
      </c>
      <c r="K42" s="151">
        <v>659</v>
      </c>
    </row>
    <row r="43" spans="2:11" ht="20.25" x14ac:dyDescent="0.2">
      <c r="B43" s="43"/>
      <c r="C43" s="47" t="s">
        <v>222</v>
      </c>
      <c r="D43" s="47"/>
      <c r="E43" s="47"/>
      <c r="F43" s="47"/>
      <c r="G43" s="151"/>
      <c r="H43" s="151"/>
      <c r="I43" s="151"/>
      <c r="J43" s="151"/>
      <c r="K43" s="151"/>
    </row>
    <row r="44" spans="2:11" ht="20.25" x14ac:dyDescent="0.2">
      <c r="B44" s="47"/>
      <c r="C44" s="47" t="s">
        <v>112</v>
      </c>
      <c r="D44" s="47"/>
      <c r="E44" s="47"/>
      <c r="F44" s="47"/>
      <c r="G44" s="151">
        <v>205</v>
      </c>
      <c r="H44" s="151">
        <v>422.62</v>
      </c>
      <c r="I44" s="151">
        <v>265.58</v>
      </c>
      <c r="J44" s="151">
        <v>225.92</v>
      </c>
      <c r="K44" s="151">
        <v>278</v>
      </c>
    </row>
    <row r="45" spans="2:11" ht="20.25" x14ac:dyDescent="0.2">
      <c r="B45" s="47"/>
      <c r="C45" s="47" t="s">
        <v>223</v>
      </c>
      <c r="D45" s="47"/>
      <c r="E45" s="47"/>
      <c r="F45" s="47"/>
      <c r="G45" s="153">
        <v>542</v>
      </c>
      <c r="H45" s="153">
        <f>248.22+18.56+28.25+5</f>
        <v>300.02999999999997</v>
      </c>
      <c r="I45" s="153">
        <v>938.98</v>
      </c>
      <c r="J45" s="153">
        <f>292.24+4514.12-J37+84.23</f>
        <v>658.70999999999958</v>
      </c>
      <c r="K45" s="153">
        <f>586+1269-304+292-0.5</f>
        <v>1842.5</v>
      </c>
    </row>
    <row r="46" spans="2:11" ht="21" thickBot="1" x14ac:dyDescent="0.25">
      <c r="B46" s="43"/>
      <c r="C46" s="43"/>
      <c r="D46" s="43" t="s">
        <v>124</v>
      </c>
      <c r="E46" s="43"/>
      <c r="F46" s="43"/>
      <c r="G46" s="315">
        <f>SUM(G27:G45)</f>
        <v>347673</v>
      </c>
      <c r="H46" s="315">
        <f>SUM(H27:H45)</f>
        <v>375019.4200000001</v>
      </c>
      <c r="I46" s="315">
        <f>SUM(I27:I45)</f>
        <v>344190.97</v>
      </c>
      <c r="J46" s="315">
        <f>SUM(J27:J45)</f>
        <v>403803.55409999995</v>
      </c>
      <c r="K46" s="315">
        <f>SUM(K27:K45)</f>
        <v>480291.79399999999</v>
      </c>
    </row>
    <row r="47" spans="2:11" ht="21" thickBot="1" x14ac:dyDescent="0.25">
      <c r="B47" s="43"/>
      <c r="C47" s="43"/>
      <c r="D47" s="43" t="s">
        <v>125</v>
      </c>
      <c r="E47" s="43"/>
      <c r="F47" s="43"/>
      <c r="G47" s="316">
        <f>G21-G46</f>
        <v>-14846</v>
      </c>
      <c r="H47" s="316">
        <f>H21-H46</f>
        <v>23148.419999999867</v>
      </c>
      <c r="I47" s="316">
        <f>I21-I46</f>
        <v>-39845.239999999991</v>
      </c>
      <c r="J47" s="316">
        <f>J21-J46</f>
        <v>-63565.374100000015</v>
      </c>
      <c r="K47" s="316">
        <f>K21-K46</f>
        <v>-163116.29399999999</v>
      </c>
    </row>
    <row r="49" spans="3:11" ht="25.5" x14ac:dyDescent="0.2">
      <c r="C49" s="47" t="s">
        <v>258</v>
      </c>
      <c r="D49" s="41"/>
      <c r="E49" s="47"/>
      <c r="F49" s="47"/>
      <c r="G49" s="539"/>
      <c r="H49" s="539">
        <f>-69500</f>
        <v>-69500</v>
      </c>
      <c r="I49" s="47"/>
      <c r="J49" s="151"/>
      <c r="K49" s="151"/>
    </row>
    <row r="50" spans="3:11" ht="20.25" x14ac:dyDescent="0.2">
      <c r="C50" s="47" t="s">
        <v>428</v>
      </c>
      <c r="D50" s="44"/>
      <c r="E50" s="43"/>
      <c r="F50" s="44"/>
      <c r="G50" s="151">
        <f>G35</f>
        <v>25080</v>
      </c>
      <c r="H50" s="151">
        <f>H35</f>
        <v>24029.68</v>
      </c>
      <c r="I50" s="151">
        <f>I35</f>
        <v>31769</v>
      </c>
      <c r="J50" s="151">
        <f>J35</f>
        <v>30384</v>
      </c>
      <c r="K50" s="151">
        <f>K35</f>
        <v>31133</v>
      </c>
    </row>
    <row r="51" spans="3:11" ht="21" thickBot="1" x14ac:dyDescent="0.25">
      <c r="C51" s="43"/>
      <c r="D51" s="795" t="s">
        <v>225</v>
      </c>
      <c r="E51" s="795"/>
      <c r="F51" s="795"/>
      <c r="G51" s="317">
        <f>G47+G49+G50</f>
        <v>10234</v>
      </c>
      <c r="H51" s="317">
        <f>H47+H49+H50</f>
        <v>-22321.900000000132</v>
      </c>
      <c r="I51" s="317">
        <f>I47+I49+I50</f>
        <v>-8076.2399999999907</v>
      </c>
      <c r="J51" s="317">
        <f>J47+J49+J50</f>
        <v>-33181.374100000015</v>
      </c>
      <c r="K51" s="317">
        <f>K47+K49+K50</f>
        <v>-131983.29399999999</v>
      </c>
    </row>
    <row r="52" spans="3:11" ht="21" thickTop="1" x14ac:dyDescent="0.2">
      <c r="C52" s="43"/>
      <c r="D52" s="43"/>
      <c r="E52" s="43"/>
      <c r="F52" s="43"/>
      <c r="G52" s="43"/>
      <c r="H52" s="43"/>
      <c r="I52" s="43"/>
      <c r="J52" s="151"/>
      <c r="K52" s="151"/>
    </row>
    <row r="53" spans="3:11" ht="20.25" x14ac:dyDescent="0.2">
      <c r="C53" s="47"/>
      <c r="D53" s="47"/>
      <c r="E53" s="44"/>
      <c r="F53" s="47" t="s">
        <v>297</v>
      </c>
      <c r="G53" s="151">
        <v>225930</v>
      </c>
      <c r="H53" s="151">
        <v>227723</v>
      </c>
      <c r="I53" s="151">
        <v>178666</v>
      </c>
      <c r="J53" s="151">
        <v>206080</v>
      </c>
      <c r="K53" s="151">
        <v>227490</v>
      </c>
    </row>
    <row r="54" spans="3:11" ht="21" thickBot="1" x14ac:dyDescent="0.25">
      <c r="C54" s="47"/>
      <c r="D54" s="47"/>
      <c r="E54" s="44"/>
      <c r="F54" s="47" t="s">
        <v>302</v>
      </c>
      <c r="G54" s="411">
        <f>(G46-G35-G36)/G53</f>
        <v>1.386615323330235</v>
      </c>
      <c r="H54" s="411">
        <f>(H46-H35-H36)/H53</f>
        <v>1.5003962709080774</v>
      </c>
      <c r="I54" s="411">
        <f>(I46-I35-I36)/I53</f>
        <v>1.6965005653006167</v>
      </c>
      <c r="J54" s="411">
        <f>(J46-J35-J36)/J53</f>
        <v>1.7608285816187885</v>
      </c>
      <c r="K54" s="411">
        <f>(K46-K35-K36)/K53</f>
        <v>1.9280442832651985</v>
      </c>
    </row>
    <row r="55" spans="3:11" ht="20.25" x14ac:dyDescent="0.2">
      <c r="C55" s="47"/>
      <c r="D55" s="47"/>
      <c r="E55" s="44"/>
      <c r="F55" s="47"/>
      <c r="G55" s="47"/>
      <c r="H55" s="151"/>
      <c r="I55" s="151"/>
      <c r="J55" s="151"/>
      <c r="K55" s="151"/>
    </row>
    <row r="56" spans="3:11" ht="20.25" x14ac:dyDescent="0.2">
      <c r="C56" s="47"/>
      <c r="D56" s="47"/>
      <c r="E56" s="44"/>
      <c r="F56" s="47" t="s">
        <v>298</v>
      </c>
      <c r="G56" s="151">
        <v>15755</v>
      </c>
      <c r="H56" s="151">
        <v>16457</v>
      </c>
      <c r="I56" s="151">
        <v>10151</v>
      </c>
      <c r="J56" s="151">
        <v>10428</v>
      </c>
      <c r="K56" s="151">
        <v>11449</v>
      </c>
    </row>
    <row r="57" spans="3:11" ht="21" thickBot="1" x14ac:dyDescent="0.25">
      <c r="C57" s="47"/>
      <c r="D57" s="47"/>
      <c r="E57" s="44"/>
      <c r="F57" s="47" t="s">
        <v>355</v>
      </c>
      <c r="G57" s="411">
        <f>(G46-G35-G36)/G56</f>
        <v>19.884354173278325</v>
      </c>
      <c r="H57" s="411">
        <f>(H46-H35-H36)/H56</f>
        <v>20.761666160296535</v>
      </c>
      <c r="I57" s="411">
        <f>(I46-I35-I36)/I56</f>
        <v>29.859813811447147</v>
      </c>
      <c r="J57" s="411">
        <f>(J46-J35-J36)/J56</f>
        <v>34.797809177215186</v>
      </c>
      <c r="K57" s="411">
        <f>(K46-K35-K36)/K56</f>
        <v>38.309965411826362</v>
      </c>
    </row>
    <row r="58" spans="3:11" ht="20.25" x14ac:dyDescent="0.2">
      <c r="C58" s="47"/>
      <c r="D58" s="47"/>
      <c r="E58" s="44"/>
      <c r="F58" s="47"/>
      <c r="G58" s="47"/>
      <c r="H58" s="151"/>
      <c r="I58" s="151"/>
      <c r="J58" s="151"/>
      <c r="K58" s="151"/>
    </row>
    <row r="59" spans="3:11" ht="20.25" hidden="1" x14ac:dyDescent="0.2">
      <c r="C59" s="43"/>
      <c r="D59" s="47"/>
      <c r="E59" s="44"/>
      <c r="F59" s="47" t="s">
        <v>299</v>
      </c>
      <c r="G59" s="47"/>
      <c r="H59" s="151">
        <v>2102</v>
      </c>
      <c r="I59" s="151">
        <v>2696</v>
      </c>
      <c r="J59" s="151">
        <v>2714</v>
      </c>
      <c r="K59" s="151">
        <v>2714</v>
      </c>
    </row>
    <row r="60" spans="3:11" ht="21" hidden="1" thickBot="1" x14ac:dyDescent="0.25">
      <c r="C60" s="47"/>
      <c r="D60" s="47"/>
      <c r="E60" s="47"/>
      <c r="F60" s="47" t="s">
        <v>356</v>
      </c>
      <c r="G60" s="47"/>
      <c r="H60" s="411">
        <f>H9/H59</f>
        <v>5.8413035204567079</v>
      </c>
      <c r="I60" s="411">
        <f>I8/I59</f>
        <v>25.248538575667656</v>
      </c>
      <c r="J60" s="411">
        <f>J8/J59</f>
        <v>31.557439204126752</v>
      </c>
      <c r="K60" s="411">
        <f>K8/K59</f>
        <v>31.12675018422992</v>
      </c>
    </row>
    <row r="61" spans="3:11" ht="20.25" hidden="1" x14ac:dyDescent="0.2">
      <c r="C61" s="43"/>
      <c r="D61" s="43"/>
      <c r="E61" s="44"/>
      <c r="F61" s="44"/>
      <c r="G61" s="44"/>
      <c r="H61" s="44"/>
      <c r="I61" s="151"/>
      <c r="J61" s="151"/>
      <c r="K61" s="151"/>
    </row>
    <row r="62" spans="3:11" ht="20.25" hidden="1" x14ac:dyDescent="0.2">
      <c r="C62" s="47"/>
      <c r="D62" s="47"/>
      <c r="E62" s="47"/>
      <c r="F62" s="47" t="s">
        <v>458</v>
      </c>
      <c r="G62" s="47"/>
      <c r="H62" s="151">
        <v>195138</v>
      </c>
      <c r="I62" s="151">
        <v>104281</v>
      </c>
      <c r="J62" s="151">
        <v>114885</v>
      </c>
      <c r="K62" s="151">
        <v>134000</v>
      </c>
    </row>
    <row r="63" spans="3:11" ht="21" hidden="1" thickBot="1" x14ac:dyDescent="0.25">
      <c r="C63" s="47"/>
      <c r="D63" s="47"/>
      <c r="E63" s="47"/>
      <c r="F63" s="47" t="s">
        <v>302</v>
      </c>
      <c r="G63" s="47"/>
      <c r="H63" s="411">
        <f>(H46-H35-H36)/H62</f>
        <v>1.7509390277649668</v>
      </c>
      <c r="I63" s="411">
        <f>(I46-I35-I36)/I62</f>
        <v>2.9066365876813607</v>
      </c>
      <c r="J63" s="411">
        <f>(J46-J35-J36)/J62</f>
        <v>3.1585633816425118</v>
      </c>
      <c r="K63" s="411">
        <f>(K46-K35-K36)/K62</f>
        <v>3.2732148805970147</v>
      </c>
    </row>
    <row r="65" spans="6:11" ht="20.25" hidden="1" x14ac:dyDescent="0.2">
      <c r="F65" s="47" t="s">
        <v>458</v>
      </c>
      <c r="G65" s="47"/>
      <c r="H65" s="151">
        <v>195138</v>
      </c>
      <c r="I65" s="151">
        <v>104281</v>
      </c>
      <c r="J65" s="151">
        <v>114885</v>
      </c>
      <c r="K65" s="151">
        <f>K62</f>
        <v>134000</v>
      </c>
    </row>
    <row r="66" spans="6:11" ht="20.25" hidden="1" x14ac:dyDescent="0.2">
      <c r="F66" s="47" t="s">
        <v>298</v>
      </c>
      <c r="G66" s="47"/>
      <c r="H66" s="151">
        <v>16457</v>
      </c>
      <c r="I66" s="151">
        <v>10151</v>
      </c>
      <c r="J66" s="151">
        <v>10428</v>
      </c>
      <c r="K66" s="151">
        <f>K56</f>
        <v>11449</v>
      </c>
    </row>
    <row r="67" spans="6:11" ht="21" hidden="1" thickBot="1" x14ac:dyDescent="0.25">
      <c r="F67" s="47" t="s">
        <v>459</v>
      </c>
      <c r="G67" s="47"/>
      <c r="H67" s="540">
        <f>H65/H66</f>
        <v>11.857446679224646</v>
      </c>
      <c r="I67" s="540">
        <f>I65/I66</f>
        <v>10.272978031721014</v>
      </c>
      <c r="J67" s="540">
        <f>J65/J66</f>
        <v>11.016973532796317</v>
      </c>
      <c r="K67" s="540">
        <f>K65/K66</f>
        <v>11.704078958861036</v>
      </c>
    </row>
    <row r="68" spans="6:11" ht="20.25" hidden="1" x14ac:dyDescent="0.2">
      <c r="F68" s="43"/>
      <c r="G68" s="43"/>
      <c r="H68" s="43"/>
      <c r="I68" s="154"/>
      <c r="J68" s="154"/>
      <c r="K68" s="154"/>
    </row>
    <row r="69" spans="6:11" ht="20.25" hidden="1" x14ac:dyDescent="0.2">
      <c r="F69" s="47" t="s">
        <v>460</v>
      </c>
      <c r="G69" s="47"/>
      <c r="H69" s="151">
        <v>227723</v>
      </c>
      <c r="I69" s="151">
        <v>178666</v>
      </c>
      <c r="J69" s="151">
        <v>206080</v>
      </c>
      <c r="K69" s="151">
        <f>K53</f>
        <v>227490</v>
      </c>
    </row>
    <row r="70" spans="6:11" ht="20.25" hidden="1" x14ac:dyDescent="0.2">
      <c r="F70" s="47" t="s">
        <v>298</v>
      </c>
      <c r="G70" s="47"/>
      <c r="H70" s="151">
        <v>16457</v>
      </c>
      <c r="I70" s="151">
        <v>10151</v>
      </c>
      <c r="J70" s="151">
        <v>10428</v>
      </c>
      <c r="K70" s="151">
        <f>K56</f>
        <v>11449</v>
      </c>
    </row>
    <row r="71" spans="6:11" ht="21" hidden="1" thickBot="1" x14ac:dyDescent="0.25">
      <c r="F71" s="47" t="s">
        <v>461</v>
      </c>
      <c r="G71" s="47"/>
      <c r="H71" s="540">
        <f>H69/H70</f>
        <v>13.837455186242936</v>
      </c>
      <c r="I71" s="540">
        <f>I69/I70</f>
        <v>17.600827504679341</v>
      </c>
      <c r="J71" s="540">
        <f>J69/J70</f>
        <v>19.762178749520523</v>
      </c>
      <c r="K71" s="540">
        <f>K69/K70</f>
        <v>19.869857629487292</v>
      </c>
    </row>
    <row r="72" spans="6:11" ht="20.25" hidden="1" x14ac:dyDescent="0.2">
      <c r="F72" s="47"/>
      <c r="G72" s="47"/>
      <c r="H72" s="541"/>
      <c r="I72" s="541"/>
      <c r="J72" s="541"/>
      <c r="K72" s="541"/>
    </row>
    <row r="73" spans="6:11" ht="20.25" hidden="1" x14ac:dyDescent="0.2">
      <c r="F73" s="542" t="s">
        <v>462</v>
      </c>
      <c r="G73" s="542"/>
      <c r="H73" s="43"/>
      <c r="I73" s="43"/>
      <c r="J73" s="154"/>
      <c r="K73" s="154"/>
    </row>
    <row r="74" spans="6:11" ht="20.25" hidden="1" x14ac:dyDescent="0.2">
      <c r="F74" s="43" t="s">
        <v>463</v>
      </c>
      <c r="G74" s="43"/>
      <c r="H74" s="543">
        <f t="shared" ref="H74:J74" si="0">H27+(H27*0.21)+H31+H33</f>
        <v>237890.76749999999</v>
      </c>
      <c r="I74" s="543">
        <f t="shared" si="0"/>
        <v>188101.25649999999</v>
      </c>
      <c r="J74" s="543">
        <f t="shared" si="0"/>
        <v>232210.04700000002</v>
      </c>
      <c r="K74" s="543">
        <f>K27+(K27*0.2)+K31+K33</f>
        <v>294958.59999999998</v>
      </c>
    </row>
    <row r="75" spans="6:11" ht="20.25" hidden="1" x14ac:dyDescent="0.2">
      <c r="F75" s="43" t="s">
        <v>464</v>
      </c>
      <c r="G75" s="43"/>
      <c r="H75" s="154">
        <f>H46-H74-H76</f>
        <v>103783.97250000012</v>
      </c>
      <c r="I75" s="154">
        <f>I46-I74-I76</f>
        <v>115005.71349999998</v>
      </c>
      <c r="J75" s="154">
        <f>J46-J74-J76</f>
        <v>130661.50709999993</v>
      </c>
      <c r="K75" s="154">
        <f>K46-K74-K76</f>
        <v>143652.19400000002</v>
      </c>
    </row>
    <row r="76" spans="6:11" ht="20.25" hidden="1" x14ac:dyDescent="0.2">
      <c r="F76" s="43" t="s">
        <v>465</v>
      </c>
      <c r="G76" s="43"/>
      <c r="H76" s="154">
        <f>H35+H36</f>
        <v>33344.68</v>
      </c>
      <c r="I76" s="154">
        <f>I35+I36</f>
        <v>41084</v>
      </c>
      <c r="J76" s="154">
        <f>J35+J36</f>
        <v>40932</v>
      </c>
      <c r="K76" s="154">
        <f>K35+K36</f>
        <v>41681</v>
      </c>
    </row>
    <row r="77" spans="6:11" ht="21" hidden="1" thickBot="1" x14ac:dyDescent="0.25">
      <c r="F77" s="43" t="s">
        <v>466</v>
      </c>
      <c r="G77" s="43"/>
      <c r="H77" s="544">
        <f>SUM(H74:H76)</f>
        <v>375019.4200000001</v>
      </c>
      <c r="I77" s="544">
        <f>SUM(I74:I76)</f>
        <v>344190.97</v>
      </c>
      <c r="J77" s="544">
        <f>SUM(J74:J76)</f>
        <v>403803.55409999995</v>
      </c>
      <c r="K77" s="544">
        <f>SUM(K74:K76)</f>
        <v>480291.79399999999</v>
      </c>
    </row>
    <row r="78" spans="6:11" ht="21" hidden="1" thickTop="1" x14ac:dyDescent="0.2">
      <c r="F78" s="43" t="s">
        <v>467</v>
      </c>
      <c r="G78" s="43"/>
      <c r="H78" s="545">
        <v>195138</v>
      </c>
      <c r="I78" s="545">
        <v>104281</v>
      </c>
      <c r="J78" s="546">
        <f>J62</f>
        <v>114885</v>
      </c>
      <c r="K78" s="546">
        <f>K62</f>
        <v>134000</v>
      </c>
    </row>
    <row r="79" spans="6:11" ht="20.25" hidden="1" x14ac:dyDescent="0.2">
      <c r="F79" s="43" t="s">
        <v>468</v>
      </c>
      <c r="G79" s="43"/>
      <c r="H79" s="547">
        <f>H74/H78</f>
        <v>1.2190899132921316</v>
      </c>
      <c r="I79" s="547">
        <f>I74/I78</f>
        <v>1.8037922200592629</v>
      </c>
      <c r="J79" s="547">
        <f>J74/J78</f>
        <v>2.0212390390390391</v>
      </c>
      <c r="K79" s="547">
        <f>K74/K78</f>
        <v>2.201183582089552</v>
      </c>
    </row>
    <row r="80" spans="6:11" ht="20.25" hidden="1" x14ac:dyDescent="0.2">
      <c r="F80" s="43" t="s">
        <v>469</v>
      </c>
      <c r="G80" s="43"/>
      <c r="H80" s="547">
        <f>H75/H56</f>
        <v>6.3063725162544886</v>
      </c>
      <c r="I80" s="547">
        <f>I75/I56</f>
        <v>11.329495960989064</v>
      </c>
      <c r="J80" s="547">
        <f>J75/J56</f>
        <v>12.529872180667427</v>
      </c>
      <c r="K80" s="547">
        <f>K75/K56</f>
        <v>12.54713896410167</v>
      </c>
    </row>
    <row r="83" spans="6:11" ht="20.25" hidden="1" x14ac:dyDescent="0.2">
      <c r="F83" s="43" t="s">
        <v>463</v>
      </c>
      <c r="G83" s="43"/>
      <c r="H83" s="154">
        <f>H23-H84-H85</f>
        <v>238182.86749999985</v>
      </c>
      <c r="I83" s="154">
        <f>I21-I84-I85</f>
        <v>180025.0165</v>
      </c>
      <c r="J83" s="154">
        <f>J21-J84-J85</f>
        <v>199028.67290000001</v>
      </c>
      <c r="K83" s="154">
        <f>K21-K84-K85</f>
        <v>162975.30599999998</v>
      </c>
    </row>
    <row r="84" spans="6:11" ht="20.25" hidden="1" x14ac:dyDescent="0.2">
      <c r="F84" s="43" t="s">
        <v>464</v>
      </c>
      <c r="G84" s="43"/>
      <c r="H84" s="545">
        <f>H75</f>
        <v>103783.97250000012</v>
      </c>
      <c r="I84" s="545">
        <f>I75</f>
        <v>115005.71349999998</v>
      </c>
      <c r="J84" s="154">
        <f>J75</f>
        <v>130661.50709999993</v>
      </c>
      <c r="K84" s="154">
        <f>K75</f>
        <v>143652.19400000002</v>
      </c>
    </row>
    <row r="85" spans="6:11" ht="20.25" hidden="1" x14ac:dyDescent="0.2">
      <c r="F85" s="43" t="s">
        <v>470</v>
      </c>
      <c r="G85" s="43"/>
      <c r="H85" s="545">
        <f>H17</f>
        <v>9315</v>
      </c>
      <c r="I85" s="545">
        <f>I17</f>
        <v>9315</v>
      </c>
      <c r="J85" s="154">
        <f>J36</f>
        <v>10548</v>
      </c>
      <c r="K85" s="154">
        <f>K36</f>
        <v>10548</v>
      </c>
    </row>
    <row r="86" spans="6:11" ht="21" hidden="1" thickBot="1" x14ac:dyDescent="0.25">
      <c r="F86" s="43" t="s">
        <v>471</v>
      </c>
      <c r="G86" s="43"/>
      <c r="H86" s="494">
        <f>SUM(H83:H85)</f>
        <v>351281.83999999997</v>
      </c>
      <c r="I86" s="494">
        <f>SUM(I83:I85)</f>
        <v>304345.73</v>
      </c>
      <c r="J86" s="494">
        <f>SUM(J83:J85)</f>
        <v>340238.17999999993</v>
      </c>
      <c r="K86" s="494">
        <f>SUM(K83:K85)</f>
        <v>317175.5</v>
      </c>
    </row>
    <row r="87" spans="6:11" ht="21" hidden="1" thickTop="1" x14ac:dyDescent="0.2">
      <c r="F87" s="43" t="s">
        <v>472</v>
      </c>
      <c r="G87" s="43"/>
      <c r="H87" s="154">
        <f>H66</f>
        <v>16457</v>
      </c>
      <c r="I87" s="154">
        <f>I66</f>
        <v>10151</v>
      </c>
      <c r="J87" s="154">
        <f>J56</f>
        <v>10428</v>
      </c>
      <c r="K87" s="154">
        <v>11740</v>
      </c>
    </row>
    <row r="88" spans="6:11" ht="20.25" hidden="1" x14ac:dyDescent="0.3">
      <c r="F88" s="43" t="s">
        <v>473</v>
      </c>
      <c r="G88" s="43"/>
      <c r="H88" s="549">
        <f>H83/H79/H67</f>
        <v>16477.207130148494</v>
      </c>
      <c r="I88" s="549">
        <f>I83/I79/I67</f>
        <v>9715.1607410527849</v>
      </c>
      <c r="J88" s="549">
        <f>J83/J79/J67</f>
        <v>8937.9035395535666</v>
      </c>
      <c r="K88" s="549">
        <f>K83/K79/K67</f>
        <v>6325.9870313799975</v>
      </c>
    </row>
    <row r="89" spans="6:11" ht="20.25" hidden="1" x14ac:dyDescent="0.3">
      <c r="F89" s="43" t="s">
        <v>474</v>
      </c>
      <c r="G89" s="43"/>
      <c r="H89" s="550">
        <f>H88-H87</f>
        <v>20.207130148493889</v>
      </c>
      <c r="I89" s="550">
        <f>I88-I87</f>
        <v>-435.83925894721506</v>
      </c>
      <c r="J89" s="550">
        <f>J88-J87</f>
        <v>-1490.0964604464334</v>
      </c>
      <c r="K89" s="550">
        <f>K88-K87</f>
        <v>-5414.0129686200025</v>
      </c>
    </row>
    <row r="90" spans="6:11" ht="20.25" hidden="1" x14ac:dyDescent="0.3">
      <c r="F90" s="43" t="s">
        <v>468</v>
      </c>
      <c r="G90" s="43"/>
      <c r="H90" s="551">
        <f>H83/(H88*H67)</f>
        <v>1.2190899132921318</v>
      </c>
      <c r="I90" s="551">
        <f>I83/(I88*I67)</f>
        <v>1.8037922200592629</v>
      </c>
      <c r="J90" s="551">
        <f>J83/(J88*J67)</f>
        <v>2.0212390390390391</v>
      </c>
      <c r="K90" s="551">
        <f>K83/(K88*K67)</f>
        <v>2.201183582089552</v>
      </c>
    </row>
    <row r="91" spans="6:11" ht="20.25" hidden="1" x14ac:dyDescent="0.3">
      <c r="F91" s="43" t="s">
        <v>469</v>
      </c>
      <c r="G91" s="43"/>
      <c r="H91" s="551">
        <f>H84/H88</f>
        <v>6.2986385787495296</v>
      </c>
      <c r="I91" s="551">
        <f>I84/I88</f>
        <v>11.837757147344673</v>
      </c>
      <c r="J91" s="551">
        <f>J84/J88</f>
        <v>14.618809267942297</v>
      </c>
      <c r="K91" s="551">
        <f>K84/K88</f>
        <v>22.708265648888418</v>
      </c>
    </row>
    <row r="92" spans="6:11" ht="20.25" hidden="1" x14ac:dyDescent="0.3">
      <c r="F92" s="43"/>
      <c r="G92" s="43"/>
      <c r="H92" s="43"/>
      <c r="I92" s="551"/>
      <c r="J92" s="551"/>
      <c r="K92" s="551"/>
    </row>
    <row r="93" spans="6:11" ht="20.25" hidden="1" x14ac:dyDescent="0.3">
      <c r="F93" s="34"/>
      <c r="G93" s="34"/>
      <c r="H93" s="34"/>
      <c r="I93" s="34"/>
      <c r="J93" s="184"/>
      <c r="K93" s="184"/>
    </row>
    <row r="94" spans="6:11" ht="20.25" hidden="1" x14ac:dyDescent="0.3">
      <c r="F94" s="34"/>
      <c r="G94" s="34"/>
      <c r="H94" s="34"/>
      <c r="I94" s="34"/>
      <c r="J94" s="184"/>
      <c r="K94" s="184"/>
    </row>
    <row r="95" spans="6:11" ht="20.25" hidden="1" x14ac:dyDescent="0.3">
      <c r="F95" s="542" t="s">
        <v>475</v>
      </c>
      <c r="G95" s="542"/>
      <c r="H95" s="34"/>
      <c r="I95" s="34"/>
      <c r="J95" s="184"/>
      <c r="K95" s="184"/>
    </row>
    <row r="96" spans="6:11" ht="20.25" hidden="1" x14ac:dyDescent="0.2">
      <c r="F96" s="43" t="s">
        <v>463</v>
      </c>
      <c r="G96" s="43"/>
      <c r="H96" s="543">
        <f t="shared" ref="H96:J98" si="1">H74</f>
        <v>237890.76749999999</v>
      </c>
      <c r="I96" s="543">
        <f t="shared" si="1"/>
        <v>188101.25649999999</v>
      </c>
      <c r="J96" s="543">
        <f t="shared" si="1"/>
        <v>232210.04700000002</v>
      </c>
      <c r="K96" s="543">
        <f>K74</f>
        <v>294958.59999999998</v>
      </c>
    </row>
    <row r="97" spans="6:11" ht="20.25" hidden="1" x14ac:dyDescent="0.2">
      <c r="F97" s="43" t="s">
        <v>464</v>
      </c>
      <c r="G97" s="43"/>
      <c r="H97" s="154">
        <f t="shared" si="1"/>
        <v>103783.97250000012</v>
      </c>
      <c r="I97" s="154">
        <f t="shared" si="1"/>
        <v>115005.71349999998</v>
      </c>
      <c r="J97" s="154">
        <f t="shared" si="1"/>
        <v>130661.50709999993</v>
      </c>
      <c r="K97" s="154">
        <f>K75</f>
        <v>143652.19400000002</v>
      </c>
    </row>
    <row r="98" spans="6:11" ht="20.25" hidden="1" x14ac:dyDescent="0.2">
      <c r="F98" s="43" t="s">
        <v>465</v>
      </c>
      <c r="G98" s="43"/>
      <c r="H98" s="154">
        <f t="shared" si="1"/>
        <v>33344.68</v>
      </c>
      <c r="I98" s="154">
        <f t="shared" si="1"/>
        <v>41084</v>
      </c>
      <c r="J98" s="154">
        <f t="shared" si="1"/>
        <v>40932</v>
      </c>
      <c r="K98" s="154">
        <f>K76</f>
        <v>41681</v>
      </c>
    </row>
    <row r="99" spans="6:11" ht="21" hidden="1" thickBot="1" x14ac:dyDescent="0.25">
      <c r="F99" s="43" t="s">
        <v>466</v>
      </c>
      <c r="G99" s="43"/>
      <c r="H99" s="544">
        <f>SUM(H96:H98)</f>
        <v>375019.4200000001</v>
      </c>
      <c r="I99" s="544">
        <f>SUM(I96:I98)</f>
        <v>344190.97</v>
      </c>
      <c r="J99" s="544">
        <f>SUM(J96:J98)</f>
        <v>403803.55409999995</v>
      </c>
      <c r="K99" s="544">
        <f>SUM(K96:K98)</f>
        <v>480291.79399999999</v>
      </c>
    </row>
    <row r="100" spans="6:11" ht="21" hidden="1" thickTop="1" x14ac:dyDescent="0.2">
      <c r="F100" s="43" t="s">
        <v>476</v>
      </c>
      <c r="G100" s="43"/>
      <c r="H100" s="154">
        <f>H53</f>
        <v>227723</v>
      </c>
      <c r="I100" s="154">
        <f t="shared" ref="I100:K100" si="2">I53</f>
        <v>178666</v>
      </c>
      <c r="J100" s="154">
        <f t="shared" si="2"/>
        <v>206080</v>
      </c>
      <c r="K100" s="154">
        <f t="shared" si="2"/>
        <v>227490</v>
      </c>
    </row>
    <row r="101" spans="6:11" ht="20.25" hidden="1" x14ac:dyDescent="0.2">
      <c r="F101" s="43" t="s">
        <v>477</v>
      </c>
      <c r="G101" s="43"/>
      <c r="H101" s="547">
        <f>H96/H100</f>
        <v>1.0446497169807178</v>
      </c>
      <c r="I101" s="547">
        <f>I96/I100</f>
        <v>1.0528094685054794</v>
      </c>
      <c r="J101" s="547">
        <f>J96/J100</f>
        <v>1.1267956473214287</v>
      </c>
      <c r="K101" s="547">
        <f>K96/K100</f>
        <v>1.2965783111345552</v>
      </c>
    </row>
    <row r="102" spans="6:11" ht="20.25" hidden="1" x14ac:dyDescent="0.2">
      <c r="F102" s="43" t="s">
        <v>469</v>
      </c>
      <c r="G102" s="43"/>
      <c r="H102" s="547">
        <f t="shared" ref="H102:K102" si="3">H97/H56</f>
        <v>6.3063725162544886</v>
      </c>
      <c r="I102" s="547">
        <f t="shared" si="3"/>
        <v>11.329495960989064</v>
      </c>
      <c r="J102" s="547">
        <f t="shared" si="3"/>
        <v>12.529872180667427</v>
      </c>
      <c r="K102" s="547">
        <f t="shared" si="3"/>
        <v>12.54713896410167</v>
      </c>
    </row>
    <row r="103" spans="6:11" ht="20.25" hidden="1" x14ac:dyDescent="0.3">
      <c r="F103" s="34"/>
      <c r="G103" s="34"/>
      <c r="H103" s="184"/>
      <c r="I103" s="184"/>
      <c r="J103" s="184"/>
      <c r="K103" s="184"/>
    </row>
    <row r="104" spans="6:11" ht="20.25" hidden="1" x14ac:dyDescent="0.2">
      <c r="F104" s="34"/>
      <c r="G104" s="34"/>
      <c r="H104" s="151"/>
      <c r="I104" s="151"/>
      <c r="J104" s="151"/>
      <c r="K104" s="151"/>
    </row>
    <row r="105" spans="6:11" ht="20.25" hidden="1" x14ac:dyDescent="0.2">
      <c r="F105" s="43" t="s">
        <v>463</v>
      </c>
      <c r="G105" s="43"/>
      <c r="H105" s="154">
        <f>H23-H106-H107</f>
        <v>238182.86749999985</v>
      </c>
      <c r="I105" s="154">
        <f>I21-I106-I107</f>
        <v>180025.0165</v>
      </c>
      <c r="J105" s="154">
        <f>J21-J106-J107</f>
        <v>199028.67290000001</v>
      </c>
      <c r="K105" s="154">
        <f>K21-K106-K107</f>
        <v>162975.30599999998</v>
      </c>
    </row>
    <row r="106" spans="6:11" ht="20.25" hidden="1" x14ac:dyDescent="0.2">
      <c r="F106" s="43" t="s">
        <v>464</v>
      </c>
      <c r="G106" s="43"/>
      <c r="H106" s="154">
        <f t="shared" ref="H106:I106" si="4">H97</f>
        <v>103783.97250000012</v>
      </c>
      <c r="I106" s="154">
        <f t="shared" si="4"/>
        <v>115005.71349999998</v>
      </c>
      <c r="J106" s="154">
        <f>J97</f>
        <v>130661.50709999993</v>
      </c>
      <c r="K106" s="154">
        <f t="shared" ref="K106" si="5">K97</f>
        <v>143652.19400000002</v>
      </c>
    </row>
    <row r="107" spans="6:11" ht="20.25" hidden="1" x14ac:dyDescent="0.2">
      <c r="F107" s="43" t="s">
        <v>100</v>
      </c>
      <c r="G107" s="43"/>
      <c r="H107" s="154">
        <f>H36</f>
        <v>9315</v>
      </c>
      <c r="I107" s="154">
        <f>I36</f>
        <v>9315</v>
      </c>
      <c r="J107" s="154">
        <f>J36</f>
        <v>10548</v>
      </c>
      <c r="K107" s="154">
        <f>K36</f>
        <v>10548</v>
      </c>
    </row>
    <row r="108" spans="6:11" ht="21" hidden="1" thickBot="1" x14ac:dyDescent="0.25">
      <c r="F108" s="43" t="s">
        <v>471</v>
      </c>
      <c r="G108" s="43"/>
      <c r="H108" s="494">
        <f>SUM(H105:H107)</f>
        <v>351281.83999999997</v>
      </c>
      <c r="I108" s="494">
        <f>SUM(I105:I107)</f>
        <v>304345.73</v>
      </c>
      <c r="J108" s="494">
        <f>SUM(J105:J107)</f>
        <v>340238.17999999993</v>
      </c>
      <c r="K108" s="494">
        <f>SUM(K105:K107)</f>
        <v>317175.5</v>
      </c>
    </row>
    <row r="109" spans="6:11" ht="21" hidden="1" thickTop="1" x14ac:dyDescent="0.2">
      <c r="F109" s="43" t="s">
        <v>472</v>
      </c>
      <c r="G109" s="43"/>
      <c r="H109" s="154">
        <f>H87</f>
        <v>16457</v>
      </c>
      <c r="I109" s="154">
        <f>I87</f>
        <v>10151</v>
      </c>
      <c r="J109" s="154">
        <f>J87</f>
        <v>10428</v>
      </c>
      <c r="K109" s="154">
        <f>K87</f>
        <v>11740</v>
      </c>
    </row>
    <row r="110" spans="6:11" ht="20.25" hidden="1" x14ac:dyDescent="0.3">
      <c r="F110" s="43" t="s">
        <v>473</v>
      </c>
      <c r="G110" s="43"/>
      <c r="H110" s="549">
        <f t="shared" ref="H110:K110" si="6">H105/H101/H71</f>
        <v>16477.207130148494</v>
      </c>
      <c r="I110" s="549">
        <f t="shared" si="6"/>
        <v>9715.1607410527868</v>
      </c>
      <c r="J110" s="549">
        <f t="shared" si="6"/>
        <v>8937.9035395535648</v>
      </c>
      <c r="K110" s="549">
        <f t="shared" si="6"/>
        <v>6325.9870313799966</v>
      </c>
    </row>
    <row r="111" spans="6:11" ht="20.25" hidden="1" x14ac:dyDescent="0.3">
      <c r="F111" s="43" t="s">
        <v>474</v>
      </c>
      <c r="G111" s="43"/>
      <c r="H111" s="550">
        <f>H110-H109</f>
        <v>20.207130148493889</v>
      </c>
      <c r="I111" s="550">
        <f>I110-I109</f>
        <v>-435.83925894721324</v>
      </c>
      <c r="J111" s="550">
        <f>J110-J109</f>
        <v>-1490.0964604464352</v>
      </c>
      <c r="K111" s="550">
        <f>K110-K109</f>
        <v>-5414.0129686200034</v>
      </c>
    </row>
    <row r="112" spans="6:11" ht="20.25" hidden="1" x14ac:dyDescent="0.3">
      <c r="F112" s="43" t="s">
        <v>477</v>
      </c>
      <c r="G112" s="43"/>
      <c r="H112" s="551">
        <f>H105/(H110*H71)</f>
        <v>1.0446497169807178</v>
      </c>
      <c r="I112" s="551">
        <f t="shared" ref="I112:K112" si="7">I105/(I110*I71)</f>
        <v>1.0528094685054794</v>
      </c>
      <c r="J112" s="551">
        <f t="shared" si="7"/>
        <v>1.1267956473214289</v>
      </c>
      <c r="K112" s="551">
        <f t="shared" si="7"/>
        <v>1.2965783111345552</v>
      </c>
    </row>
    <row r="113" spans="6:11" ht="20.25" hidden="1" x14ac:dyDescent="0.3">
      <c r="F113" s="43" t="s">
        <v>478</v>
      </c>
      <c r="G113" s="43"/>
      <c r="H113" s="551">
        <f>H106/H110</f>
        <v>6.2986385787495296</v>
      </c>
      <c r="I113" s="551">
        <f>I106/I110</f>
        <v>11.837757147344671</v>
      </c>
      <c r="J113" s="551">
        <f>J106/J110</f>
        <v>14.618809267942298</v>
      </c>
      <c r="K113" s="551">
        <f>K106/K110</f>
        <v>22.708265648888421</v>
      </c>
    </row>
    <row r="114" spans="6:11" ht="20.25" hidden="1" x14ac:dyDescent="0.2">
      <c r="F114" s="43" t="s">
        <v>479</v>
      </c>
      <c r="G114" s="151">
        <f>G27+G31+G33+G27*0.21</f>
        <v>216908.68</v>
      </c>
      <c r="H114" s="151">
        <f t="shared" ref="H114:K114" si="8">H27+H31+H33+H27*0.21</f>
        <v>237890.76750000002</v>
      </c>
      <c r="I114" s="151">
        <f t="shared" si="8"/>
        <v>188101.25650000002</v>
      </c>
      <c r="J114" s="151">
        <f t="shared" si="8"/>
        <v>232210.04700000002</v>
      </c>
      <c r="K114" s="151">
        <f t="shared" si="8"/>
        <v>297009.18</v>
      </c>
    </row>
    <row r="115" spans="6:11" ht="20.25" hidden="1" x14ac:dyDescent="0.2">
      <c r="F115" s="43" t="s">
        <v>464</v>
      </c>
      <c r="G115" s="151">
        <f>G46-G114-G116</f>
        <v>105684.32</v>
      </c>
      <c r="H115" s="151">
        <f t="shared" ref="H115:K115" si="9">H46-H114-H116</f>
        <v>113098.97250000009</v>
      </c>
      <c r="I115" s="151">
        <f t="shared" si="9"/>
        <v>124320.71349999995</v>
      </c>
      <c r="J115" s="151">
        <f t="shared" si="9"/>
        <v>141209.50709999993</v>
      </c>
      <c r="K115" s="151">
        <f t="shared" si="9"/>
        <v>152149.614</v>
      </c>
    </row>
    <row r="116" spans="6:11" ht="20.25" hidden="1" x14ac:dyDescent="0.2">
      <c r="F116" s="43" t="s">
        <v>121</v>
      </c>
      <c r="G116" s="151">
        <f>G35</f>
        <v>25080</v>
      </c>
      <c r="H116" s="151">
        <f t="shared" ref="H116:K116" si="10">H35</f>
        <v>24029.68</v>
      </c>
      <c r="I116" s="151">
        <f t="shared" si="10"/>
        <v>31769</v>
      </c>
      <c r="J116" s="151">
        <f t="shared" si="10"/>
        <v>30384</v>
      </c>
      <c r="K116" s="151">
        <f t="shared" si="10"/>
        <v>31133</v>
      </c>
    </row>
  </sheetData>
  <mergeCells count="8">
    <mergeCell ref="D34:F34"/>
    <mergeCell ref="D51:F51"/>
    <mergeCell ref="D27:F27"/>
    <mergeCell ref="D28:F28"/>
    <mergeCell ref="D29:F29"/>
    <mergeCell ref="D31:F31"/>
    <mergeCell ref="D32:F32"/>
    <mergeCell ref="D33:F3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63"/>
  <sheetViews>
    <sheetView zoomScale="75" zoomScaleNormal="75" workbookViewId="0">
      <selection activeCell="S47" sqref="S47"/>
    </sheetView>
  </sheetViews>
  <sheetFormatPr defaultRowHeight="20.25" x14ac:dyDescent="0.3"/>
  <cols>
    <col min="1" max="1" width="2.875" style="34" customWidth="1"/>
    <col min="2" max="2" width="8.125" style="34" customWidth="1"/>
    <col min="3" max="3" width="8.75" style="34" customWidth="1"/>
    <col min="4" max="4" width="5.75" style="34" customWidth="1"/>
    <col min="5" max="5" width="2.875" style="34" customWidth="1"/>
    <col min="6" max="6" width="45.625" style="34" customWidth="1"/>
    <col min="7" max="7" width="22.25" style="148" hidden="1" customWidth="1"/>
    <col min="8" max="8" width="23.125" hidden="1" customWidth="1"/>
    <col min="9" max="9" width="1.625" hidden="1" customWidth="1"/>
    <col min="10" max="10" width="26.875" customWidth="1"/>
    <col min="11" max="11" width="24.5" customWidth="1"/>
    <col min="12" max="12" width="1.625" customWidth="1"/>
    <col min="13" max="13" width="23.125" customWidth="1"/>
    <col min="14" max="14" width="1.75" customWidth="1"/>
    <col min="15" max="15" width="15.25" bestFit="1" customWidth="1"/>
    <col min="16" max="16" width="10.625" customWidth="1"/>
    <col min="18" max="18" width="16.875" style="475" bestFit="1" customWidth="1"/>
    <col min="19" max="19" width="10" bestFit="1" customWidth="1"/>
    <col min="21" max="21" width="11.5" bestFit="1" customWidth="1"/>
    <col min="255" max="255" width="2.875" customWidth="1"/>
    <col min="256" max="256" width="8.125" customWidth="1"/>
    <col min="257" max="257" width="8.75" customWidth="1"/>
    <col min="258" max="258" width="11" customWidth="1"/>
    <col min="259" max="259" width="2.875" customWidth="1"/>
    <col min="260" max="260" width="77.625" customWidth="1"/>
    <col min="261" max="261" width="20.875" customWidth="1"/>
    <col min="511" max="511" width="2.875" customWidth="1"/>
    <col min="512" max="512" width="8.125" customWidth="1"/>
    <col min="513" max="513" width="8.75" customWidth="1"/>
    <col min="514" max="514" width="11" customWidth="1"/>
    <col min="515" max="515" width="2.875" customWidth="1"/>
    <col min="516" max="516" width="77.625" customWidth="1"/>
    <col min="517" max="517" width="20.875" customWidth="1"/>
    <col min="767" max="767" width="2.875" customWidth="1"/>
    <col min="768" max="768" width="8.125" customWidth="1"/>
    <col min="769" max="769" width="8.75" customWidth="1"/>
    <col min="770" max="770" width="11" customWidth="1"/>
    <col min="771" max="771" width="2.875" customWidth="1"/>
    <col min="772" max="772" width="77.625" customWidth="1"/>
    <col min="773" max="773" width="20.875" customWidth="1"/>
    <col min="1023" max="1023" width="2.875" customWidth="1"/>
    <col min="1024" max="1024" width="8.125" customWidth="1"/>
    <col min="1025" max="1025" width="8.75" customWidth="1"/>
    <col min="1026" max="1026" width="11" customWidth="1"/>
    <col min="1027" max="1027" width="2.875" customWidth="1"/>
    <col min="1028" max="1028" width="77.625" customWidth="1"/>
    <col min="1029" max="1029" width="20.875" customWidth="1"/>
    <col min="1279" max="1279" width="2.875" customWidth="1"/>
    <col min="1280" max="1280" width="8.125" customWidth="1"/>
    <col min="1281" max="1281" width="8.75" customWidth="1"/>
    <col min="1282" max="1282" width="11" customWidth="1"/>
    <col min="1283" max="1283" width="2.875" customWidth="1"/>
    <col min="1284" max="1284" width="77.625" customWidth="1"/>
    <col min="1285" max="1285" width="20.875" customWidth="1"/>
    <col min="1535" max="1535" width="2.875" customWidth="1"/>
    <col min="1536" max="1536" width="8.125" customWidth="1"/>
    <col min="1537" max="1537" width="8.75" customWidth="1"/>
    <col min="1538" max="1538" width="11" customWidth="1"/>
    <col min="1539" max="1539" width="2.875" customWidth="1"/>
    <col min="1540" max="1540" width="77.625" customWidth="1"/>
    <col min="1541" max="1541" width="20.875" customWidth="1"/>
    <col min="1791" max="1791" width="2.875" customWidth="1"/>
    <col min="1792" max="1792" width="8.125" customWidth="1"/>
    <col min="1793" max="1793" width="8.75" customWidth="1"/>
    <col min="1794" max="1794" width="11" customWidth="1"/>
    <col min="1795" max="1795" width="2.875" customWidth="1"/>
    <col min="1796" max="1796" width="77.625" customWidth="1"/>
    <col min="1797" max="1797" width="20.875" customWidth="1"/>
    <col min="2047" max="2047" width="2.875" customWidth="1"/>
    <col min="2048" max="2048" width="8.125" customWidth="1"/>
    <col min="2049" max="2049" width="8.75" customWidth="1"/>
    <col min="2050" max="2050" width="11" customWidth="1"/>
    <col min="2051" max="2051" width="2.875" customWidth="1"/>
    <col min="2052" max="2052" width="77.625" customWidth="1"/>
    <col min="2053" max="2053" width="20.875" customWidth="1"/>
    <col min="2303" max="2303" width="2.875" customWidth="1"/>
    <col min="2304" max="2304" width="8.125" customWidth="1"/>
    <col min="2305" max="2305" width="8.75" customWidth="1"/>
    <col min="2306" max="2306" width="11" customWidth="1"/>
    <col min="2307" max="2307" width="2.875" customWidth="1"/>
    <col min="2308" max="2308" width="77.625" customWidth="1"/>
    <col min="2309" max="2309" width="20.875" customWidth="1"/>
    <col min="2559" max="2559" width="2.875" customWidth="1"/>
    <col min="2560" max="2560" width="8.125" customWidth="1"/>
    <col min="2561" max="2561" width="8.75" customWidth="1"/>
    <col min="2562" max="2562" width="11" customWidth="1"/>
    <col min="2563" max="2563" width="2.875" customWidth="1"/>
    <col min="2564" max="2564" width="77.625" customWidth="1"/>
    <col min="2565" max="2565" width="20.875" customWidth="1"/>
    <col min="2815" max="2815" width="2.875" customWidth="1"/>
    <col min="2816" max="2816" width="8.125" customWidth="1"/>
    <col min="2817" max="2817" width="8.75" customWidth="1"/>
    <col min="2818" max="2818" width="11" customWidth="1"/>
    <col min="2819" max="2819" width="2.875" customWidth="1"/>
    <col min="2820" max="2820" width="77.625" customWidth="1"/>
    <col min="2821" max="2821" width="20.875" customWidth="1"/>
    <col min="3071" max="3071" width="2.875" customWidth="1"/>
    <col min="3072" max="3072" width="8.125" customWidth="1"/>
    <col min="3073" max="3073" width="8.75" customWidth="1"/>
    <col min="3074" max="3074" width="11" customWidth="1"/>
    <col min="3075" max="3075" width="2.875" customWidth="1"/>
    <col min="3076" max="3076" width="77.625" customWidth="1"/>
    <col min="3077" max="3077" width="20.875" customWidth="1"/>
    <col min="3327" max="3327" width="2.875" customWidth="1"/>
    <col min="3328" max="3328" width="8.125" customWidth="1"/>
    <col min="3329" max="3329" width="8.75" customWidth="1"/>
    <col min="3330" max="3330" width="11" customWidth="1"/>
    <col min="3331" max="3331" width="2.875" customWidth="1"/>
    <col min="3332" max="3332" width="77.625" customWidth="1"/>
    <col min="3333" max="3333" width="20.875" customWidth="1"/>
    <col min="3583" max="3583" width="2.875" customWidth="1"/>
    <col min="3584" max="3584" width="8.125" customWidth="1"/>
    <col min="3585" max="3585" width="8.75" customWidth="1"/>
    <col min="3586" max="3586" width="11" customWidth="1"/>
    <col min="3587" max="3587" width="2.875" customWidth="1"/>
    <col min="3588" max="3588" width="77.625" customWidth="1"/>
    <col min="3589" max="3589" width="20.875" customWidth="1"/>
    <col min="3839" max="3839" width="2.875" customWidth="1"/>
    <col min="3840" max="3840" width="8.125" customWidth="1"/>
    <col min="3841" max="3841" width="8.75" customWidth="1"/>
    <col min="3842" max="3842" width="11" customWidth="1"/>
    <col min="3843" max="3843" width="2.875" customWidth="1"/>
    <col min="3844" max="3844" width="77.625" customWidth="1"/>
    <col min="3845" max="3845" width="20.875" customWidth="1"/>
    <col min="4095" max="4095" width="2.875" customWidth="1"/>
    <col min="4096" max="4096" width="8.125" customWidth="1"/>
    <col min="4097" max="4097" width="8.75" customWidth="1"/>
    <col min="4098" max="4098" width="11" customWidth="1"/>
    <col min="4099" max="4099" width="2.875" customWidth="1"/>
    <col min="4100" max="4100" width="77.625" customWidth="1"/>
    <col min="4101" max="4101" width="20.875" customWidth="1"/>
    <col min="4351" max="4351" width="2.875" customWidth="1"/>
    <col min="4352" max="4352" width="8.125" customWidth="1"/>
    <col min="4353" max="4353" width="8.75" customWidth="1"/>
    <col min="4354" max="4354" width="11" customWidth="1"/>
    <col min="4355" max="4355" width="2.875" customWidth="1"/>
    <col min="4356" max="4356" width="77.625" customWidth="1"/>
    <col min="4357" max="4357" width="20.875" customWidth="1"/>
    <col min="4607" max="4607" width="2.875" customWidth="1"/>
    <col min="4608" max="4608" width="8.125" customWidth="1"/>
    <col min="4609" max="4609" width="8.75" customWidth="1"/>
    <col min="4610" max="4610" width="11" customWidth="1"/>
    <col min="4611" max="4611" width="2.875" customWidth="1"/>
    <col min="4612" max="4612" width="77.625" customWidth="1"/>
    <col min="4613" max="4613" width="20.875" customWidth="1"/>
    <col min="4863" max="4863" width="2.875" customWidth="1"/>
    <col min="4864" max="4864" width="8.125" customWidth="1"/>
    <col min="4865" max="4865" width="8.75" customWidth="1"/>
    <col min="4866" max="4866" width="11" customWidth="1"/>
    <col min="4867" max="4867" width="2.875" customWidth="1"/>
    <col min="4868" max="4868" width="77.625" customWidth="1"/>
    <col min="4869" max="4869" width="20.875" customWidth="1"/>
    <col min="5119" max="5119" width="2.875" customWidth="1"/>
    <col min="5120" max="5120" width="8.125" customWidth="1"/>
    <col min="5121" max="5121" width="8.75" customWidth="1"/>
    <col min="5122" max="5122" width="11" customWidth="1"/>
    <col min="5123" max="5123" width="2.875" customWidth="1"/>
    <col min="5124" max="5124" width="77.625" customWidth="1"/>
    <col min="5125" max="5125" width="20.875" customWidth="1"/>
    <col min="5375" max="5375" width="2.875" customWidth="1"/>
    <col min="5376" max="5376" width="8.125" customWidth="1"/>
    <col min="5377" max="5377" width="8.75" customWidth="1"/>
    <col min="5378" max="5378" width="11" customWidth="1"/>
    <col min="5379" max="5379" width="2.875" customWidth="1"/>
    <col min="5380" max="5380" width="77.625" customWidth="1"/>
    <col min="5381" max="5381" width="20.875" customWidth="1"/>
    <col min="5631" max="5631" width="2.875" customWidth="1"/>
    <col min="5632" max="5632" width="8.125" customWidth="1"/>
    <col min="5633" max="5633" width="8.75" customWidth="1"/>
    <col min="5634" max="5634" width="11" customWidth="1"/>
    <col min="5635" max="5635" width="2.875" customWidth="1"/>
    <col min="5636" max="5636" width="77.625" customWidth="1"/>
    <col min="5637" max="5637" width="20.875" customWidth="1"/>
    <col min="5887" max="5887" width="2.875" customWidth="1"/>
    <col min="5888" max="5888" width="8.125" customWidth="1"/>
    <col min="5889" max="5889" width="8.75" customWidth="1"/>
    <col min="5890" max="5890" width="11" customWidth="1"/>
    <col min="5891" max="5891" width="2.875" customWidth="1"/>
    <col min="5892" max="5892" width="77.625" customWidth="1"/>
    <col min="5893" max="5893" width="20.875" customWidth="1"/>
    <col min="6143" max="6143" width="2.875" customWidth="1"/>
    <col min="6144" max="6144" width="8.125" customWidth="1"/>
    <col min="6145" max="6145" width="8.75" customWidth="1"/>
    <col min="6146" max="6146" width="11" customWidth="1"/>
    <col min="6147" max="6147" width="2.875" customWidth="1"/>
    <col min="6148" max="6148" width="77.625" customWidth="1"/>
    <col min="6149" max="6149" width="20.875" customWidth="1"/>
    <col min="6399" max="6399" width="2.875" customWidth="1"/>
    <col min="6400" max="6400" width="8.125" customWidth="1"/>
    <col min="6401" max="6401" width="8.75" customWidth="1"/>
    <col min="6402" max="6402" width="11" customWidth="1"/>
    <col min="6403" max="6403" width="2.875" customWidth="1"/>
    <col min="6404" max="6404" width="77.625" customWidth="1"/>
    <col min="6405" max="6405" width="20.875" customWidth="1"/>
    <col min="6655" max="6655" width="2.875" customWidth="1"/>
    <col min="6656" max="6656" width="8.125" customWidth="1"/>
    <col min="6657" max="6657" width="8.75" customWidth="1"/>
    <col min="6658" max="6658" width="11" customWidth="1"/>
    <col min="6659" max="6659" width="2.875" customWidth="1"/>
    <col min="6660" max="6660" width="77.625" customWidth="1"/>
    <col min="6661" max="6661" width="20.875" customWidth="1"/>
    <col min="6911" max="6911" width="2.875" customWidth="1"/>
    <col min="6912" max="6912" width="8.125" customWidth="1"/>
    <col min="6913" max="6913" width="8.75" customWidth="1"/>
    <col min="6914" max="6914" width="11" customWidth="1"/>
    <col min="6915" max="6915" width="2.875" customWidth="1"/>
    <col min="6916" max="6916" width="77.625" customWidth="1"/>
    <col min="6917" max="6917" width="20.875" customWidth="1"/>
    <col min="7167" max="7167" width="2.875" customWidth="1"/>
    <col min="7168" max="7168" width="8.125" customWidth="1"/>
    <col min="7169" max="7169" width="8.75" customWidth="1"/>
    <col min="7170" max="7170" width="11" customWidth="1"/>
    <col min="7171" max="7171" width="2.875" customWidth="1"/>
    <col min="7172" max="7172" width="77.625" customWidth="1"/>
    <col min="7173" max="7173" width="20.875" customWidth="1"/>
    <col min="7423" max="7423" width="2.875" customWidth="1"/>
    <col min="7424" max="7424" width="8.125" customWidth="1"/>
    <col min="7425" max="7425" width="8.75" customWidth="1"/>
    <col min="7426" max="7426" width="11" customWidth="1"/>
    <col min="7427" max="7427" width="2.875" customWidth="1"/>
    <col min="7428" max="7428" width="77.625" customWidth="1"/>
    <col min="7429" max="7429" width="20.875" customWidth="1"/>
    <col min="7679" max="7679" width="2.875" customWidth="1"/>
    <col min="7680" max="7680" width="8.125" customWidth="1"/>
    <col min="7681" max="7681" width="8.75" customWidth="1"/>
    <col min="7682" max="7682" width="11" customWidth="1"/>
    <col min="7683" max="7683" width="2.875" customWidth="1"/>
    <col min="7684" max="7684" width="77.625" customWidth="1"/>
    <col min="7685" max="7685" width="20.875" customWidth="1"/>
    <col min="7935" max="7935" width="2.875" customWidth="1"/>
    <col min="7936" max="7936" width="8.125" customWidth="1"/>
    <col min="7937" max="7937" width="8.75" customWidth="1"/>
    <col min="7938" max="7938" width="11" customWidth="1"/>
    <col min="7939" max="7939" width="2.875" customWidth="1"/>
    <col min="7940" max="7940" width="77.625" customWidth="1"/>
    <col min="7941" max="7941" width="20.875" customWidth="1"/>
    <col min="8191" max="8191" width="2.875" customWidth="1"/>
    <col min="8192" max="8192" width="8.125" customWidth="1"/>
    <col min="8193" max="8193" width="8.75" customWidth="1"/>
    <col min="8194" max="8194" width="11" customWidth="1"/>
    <col min="8195" max="8195" width="2.875" customWidth="1"/>
    <col min="8196" max="8196" width="77.625" customWidth="1"/>
    <col min="8197" max="8197" width="20.875" customWidth="1"/>
    <col min="8447" max="8447" width="2.875" customWidth="1"/>
    <col min="8448" max="8448" width="8.125" customWidth="1"/>
    <col min="8449" max="8449" width="8.75" customWidth="1"/>
    <col min="8450" max="8450" width="11" customWidth="1"/>
    <col min="8451" max="8451" width="2.875" customWidth="1"/>
    <col min="8452" max="8452" width="77.625" customWidth="1"/>
    <col min="8453" max="8453" width="20.875" customWidth="1"/>
    <col min="8703" max="8703" width="2.875" customWidth="1"/>
    <col min="8704" max="8704" width="8.125" customWidth="1"/>
    <col min="8705" max="8705" width="8.75" customWidth="1"/>
    <col min="8706" max="8706" width="11" customWidth="1"/>
    <col min="8707" max="8707" width="2.875" customWidth="1"/>
    <col min="8708" max="8708" width="77.625" customWidth="1"/>
    <col min="8709" max="8709" width="20.875" customWidth="1"/>
    <col min="8959" max="8959" width="2.875" customWidth="1"/>
    <col min="8960" max="8960" width="8.125" customWidth="1"/>
    <col min="8961" max="8961" width="8.75" customWidth="1"/>
    <col min="8962" max="8962" width="11" customWidth="1"/>
    <col min="8963" max="8963" width="2.875" customWidth="1"/>
    <col min="8964" max="8964" width="77.625" customWidth="1"/>
    <col min="8965" max="8965" width="20.875" customWidth="1"/>
    <col min="9215" max="9215" width="2.875" customWidth="1"/>
    <col min="9216" max="9216" width="8.125" customWidth="1"/>
    <col min="9217" max="9217" width="8.75" customWidth="1"/>
    <col min="9218" max="9218" width="11" customWidth="1"/>
    <col min="9219" max="9219" width="2.875" customWidth="1"/>
    <col min="9220" max="9220" width="77.625" customWidth="1"/>
    <col min="9221" max="9221" width="20.875" customWidth="1"/>
    <col min="9471" max="9471" width="2.875" customWidth="1"/>
    <col min="9472" max="9472" width="8.125" customWidth="1"/>
    <col min="9473" max="9473" width="8.75" customWidth="1"/>
    <col min="9474" max="9474" width="11" customWidth="1"/>
    <col min="9475" max="9475" width="2.875" customWidth="1"/>
    <col min="9476" max="9476" width="77.625" customWidth="1"/>
    <col min="9477" max="9477" width="20.875" customWidth="1"/>
    <col min="9727" max="9727" width="2.875" customWidth="1"/>
    <col min="9728" max="9728" width="8.125" customWidth="1"/>
    <col min="9729" max="9729" width="8.75" customWidth="1"/>
    <col min="9730" max="9730" width="11" customWidth="1"/>
    <col min="9731" max="9731" width="2.875" customWidth="1"/>
    <col min="9732" max="9732" width="77.625" customWidth="1"/>
    <col min="9733" max="9733" width="20.875" customWidth="1"/>
    <col min="9983" max="9983" width="2.875" customWidth="1"/>
    <col min="9984" max="9984" width="8.125" customWidth="1"/>
    <col min="9985" max="9985" width="8.75" customWidth="1"/>
    <col min="9986" max="9986" width="11" customWidth="1"/>
    <col min="9987" max="9987" width="2.875" customWidth="1"/>
    <col min="9988" max="9988" width="77.625" customWidth="1"/>
    <col min="9989" max="9989" width="20.875" customWidth="1"/>
    <col min="10239" max="10239" width="2.875" customWidth="1"/>
    <col min="10240" max="10240" width="8.125" customWidth="1"/>
    <col min="10241" max="10241" width="8.75" customWidth="1"/>
    <col min="10242" max="10242" width="11" customWidth="1"/>
    <col min="10243" max="10243" width="2.875" customWidth="1"/>
    <col min="10244" max="10244" width="77.625" customWidth="1"/>
    <col min="10245" max="10245" width="20.875" customWidth="1"/>
    <col min="10495" max="10495" width="2.875" customWidth="1"/>
    <col min="10496" max="10496" width="8.125" customWidth="1"/>
    <col min="10497" max="10497" width="8.75" customWidth="1"/>
    <col min="10498" max="10498" width="11" customWidth="1"/>
    <col min="10499" max="10499" width="2.875" customWidth="1"/>
    <col min="10500" max="10500" width="77.625" customWidth="1"/>
    <col min="10501" max="10501" width="20.875" customWidth="1"/>
    <col min="10751" max="10751" width="2.875" customWidth="1"/>
    <col min="10752" max="10752" width="8.125" customWidth="1"/>
    <col min="10753" max="10753" width="8.75" customWidth="1"/>
    <col min="10754" max="10754" width="11" customWidth="1"/>
    <col min="10755" max="10755" width="2.875" customWidth="1"/>
    <col min="10756" max="10756" width="77.625" customWidth="1"/>
    <col min="10757" max="10757" width="20.875" customWidth="1"/>
    <col min="11007" max="11007" width="2.875" customWidth="1"/>
    <col min="11008" max="11008" width="8.125" customWidth="1"/>
    <col min="11009" max="11009" width="8.75" customWidth="1"/>
    <col min="11010" max="11010" width="11" customWidth="1"/>
    <col min="11011" max="11011" width="2.875" customWidth="1"/>
    <col min="11012" max="11012" width="77.625" customWidth="1"/>
    <col min="11013" max="11013" width="20.875" customWidth="1"/>
    <col min="11263" max="11263" width="2.875" customWidth="1"/>
    <col min="11264" max="11264" width="8.125" customWidth="1"/>
    <col min="11265" max="11265" width="8.75" customWidth="1"/>
    <col min="11266" max="11266" width="11" customWidth="1"/>
    <col min="11267" max="11267" width="2.875" customWidth="1"/>
    <col min="11268" max="11268" width="77.625" customWidth="1"/>
    <col min="11269" max="11269" width="20.875" customWidth="1"/>
    <col min="11519" max="11519" width="2.875" customWidth="1"/>
    <col min="11520" max="11520" width="8.125" customWidth="1"/>
    <col min="11521" max="11521" width="8.75" customWidth="1"/>
    <col min="11522" max="11522" width="11" customWidth="1"/>
    <col min="11523" max="11523" width="2.875" customWidth="1"/>
    <col min="11524" max="11524" width="77.625" customWidth="1"/>
    <col min="11525" max="11525" width="20.875" customWidth="1"/>
    <col min="11775" max="11775" width="2.875" customWidth="1"/>
    <col min="11776" max="11776" width="8.125" customWidth="1"/>
    <col min="11777" max="11777" width="8.75" customWidth="1"/>
    <col min="11778" max="11778" width="11" customWidth="1"/>
    <col min="11779" max="11779" width="2.875" customWidth="1"/>
    <col min="11780" max="11780" width="77.625" customWidth="1"/>
    <col min="11781" max="11781" width="20.875" customWidth="1"/>
    <col min="12031" max="12031" width="2.875" customWidth="1"/>
    <col min="12032" max="12032" width="8.125" customWidth="1"/>
    <col min="12033" max="12033" width="8.75" customWidth="1"/>
    <col min="12034" max="12034" width="11" customWidth="1"/>
    <col min="12035" max="12035" width="2.875" customWidth="1"/>
    <col min="12036" max="12036" width="77.625" customWidth="1"/>
    <col min="12037" max="12037" width="20.875" customWidth="1"/>
    <col min="12287" max="12287" width="2.875" customWidth="1"/>
    <col min="12288" max="12288" width="8.125" customWidth="1"/>
    <col min="12289" max="12289" width="8.75" customWidth="1"/>
    <col min="12290" max="12290" width="11" customWidth="1"/>
    <col min="12291" max="12291" width="2.875" customWidth="1"/>
    <col min="12292" max="12292" width="77.625" customWidth="1"/>
    <col min="12293" max="12293" width="20.875" customWidth="1"/>
    <col min="12543" max="12543" width="2.875" customWidth="1"/>
    <col min="12544" max="12544" width="8.125" customWidth="1"/>
    <col min="12545" max="12545" width="8.75" customWidth="1"/>
    <col min="12546" max="12546" width="11" customWidth="1"/>
    <col min="12547" max="12547" width="2.875" customWidth="1"/>
    <col min="12548" max="12548" width="77.625" customWidth="1"/>
    <col min="12549" max="12549" width="20.875" customWidth="1"/>
    <col min="12799" max="12799" width="2.875" customWidth="1"/>
    <col min="12800" max="12800" width="8.125" customWidth="1"/>
    <col min="12801" max="12801" width="8.75" customWidth="1"/>
    <col min="12802" max="12802" width="11" customWidth="1"/>
    <col min="12803" max="12803" width="2.875" customWidth="1"/>
    <col min="12804" max="12804" width="77.625" customWidth="1"/>
    <col min="12805" max="12805" width="20.875" customWidth="1"/>
    <col min="13055" max="13055" width="2.875" customWidth="1"/>
    <col min="13056" max="13056" width="8.125" customWidth="1"/>
    <col min="13057" max="13057" width="8.75" customWidth="1"/>
    <col min="13058" max="13058" width="11" customWidth="1"/>
    <col min="13059" max="13059" width="2.875" customWidth="1"/>
    <col min="13060" max="13060" width="77.625" customWidth="1"/>
    <col min="13061" max="13061" width="20.875" customWidth="1"/>
    <col min="13311" max="13311" width="2.875" customWidth="1"/>
    <col min="13312" max="13312" width="8.125" customWidth="1"/>
    <col min="13313" max="13313" width="8.75" customWidth="1"/>
    <col min="13314" max="13314" width="11" customWidth="1"/>
    <col min="13315" max="13315" width="2.875" customWidth="1"/>
    <col min="13316" max="13316" width="77.625" customWidth="1"/>
    <col min="13317" max="13317" width="20.875" customWidth="1"/>
    <col min="13567" max="13567" width="2.875" customWidth="1"/>
    <col min="13568" max="13568" width="8.125" customWidth="1"/>
    <col min="13569" max="13569" width="8.75" customWidth="1"/>
    <col min="13570" max="13570" width="11" customWidth="1"/>
    <col min="13571" max="13571" width="2.875" customWidth="1"/>
    <col min="13572" max="13572" width="77.625" customWidth="1"/>
    <col min="13573" max="13573" width="20.875" customWidth="1"/>
    <col min="13823" max="13823" width="2.875" customWidth="1"/>
    <col min="13824" max="13824" width="8.125" customWidth="1"/>
    <col min="13825" max="13825" width="8.75" customWidth="1"/>
    <col min="13826" max="13826" width="11" customWidth="1"/>
    <col min="13827" max="13827" width="2.875" customWidth="1"/>
    <col min="13828" max="13828" width="77.625" customWidth="1"/>
    <col min="13829" max="13829" width="20.875" customWidth="1"/>
    <col min="14079" max="14079" width="2.875" customWidth="1"/>
    <col min="14080" max="14080" width="8.125" customWidth="1"/>
    <col min="14081" max="14081" width="8.75" customWidth="1"/>
    <col min="14082" max="14082" width="11" customWidth="1"/>
    <col min="14083" max="14083" width="2.875" customWidth="1"/>
    <col min="14084" max="14084" width="77.625" customWidth="1"/>
    <col min="14085" max="14085" width="20.875" customWidth="1"/>
    <col min="14335" max="14335" width="2.875" customWidth="1"/>
    <col min="14336" max="14336" width="8.125" customWidth="1"/>
    <col min="14337" max="14337" width="8.75" customWidth="1"/>
    <col min="14338" max="14338" width="11" customWidth="1"/>
    <col min="14339" max="14339" width="2.875" customWidth="1"/>
    <col min="14340" max="14340" width="77.625" customWidth="1"/>
    <col min="14341" max="14341" width="20.875" customWidth="1"/>
    <col min="14591" max="14591" width="2.875" customWidth="1"/>
    <col min="14592" max="14592" width="8.125" customWidth="1"/>
    <col min="14593" max="14593" width="8.75" customWidth="1"/>
    <col min="14594" max="14594" width="11" customWidth="1"/>
    <col min="14595" max="14595" width="2.875" customWidth="1"/>
    <col min="14596" max="14596" width="77.625" customWidth="1"/>
    <col min="14597" max="14597" width="20.875" customWidth="1"/>
    <col min="14847" max="14847" width="2.875" customWidth="1"/>
    <col min="14848" max="14848" width="8.125" customWidth="1"/>
    <col min="14849" max="14849" width="8.75" customWidth="1"/>
    <col min="14850" max="14850" width="11" customWidth="1"/>
    <col min="14851" max="14851" width="2.875" customWidth="1"/>
    <col min="14852" max="14852" width="77.625" customWidth="1"/>
    <col min="14853" max="14853" width="20.875" customWidth="1"/>
    <col min="15103" max="15103" width="2.875" customWidth="1"/>
    <col min="15104" max="15104" width="8.125" customWidth="1"/>
    <col min="15105" max="15105" width="8.75" customWidth="1"/>
    <col min="15106" max="15106" width="11" customWidth="1"/>
    <col min="15107" max="15107" width="2.875" customWidth="1"/>
    <col min="15108" max="15108" width="77.625" customWidth="1"/>
    <col min="15109" max="15109" width="20.875" customWidth="1"/>
    <col min="15359" max="15359" width="2.875" customWidth="1"/>
    <col min="15360" max="15360" width="8.125" customWidth="1"/>
    <col min="15361" max="15361" width="8.75" customWidth="1"/>
    <col min="15362" max="15362" width="11" customWidth="1"/>
    <col min="15363" max="15363" width="2.875" customWidth="1"/>
    <col min="15364" max="15364" width="77.625" customWidth="1"/>
    <col min="15365" max="15365" width="20.875" customWidth="1"/>
    <col min="15615" max="15615" width="2.875" customWidth="1"/>
    <col min="15616" max="15616" width="8.125" customWidth="1"/>
    <col min="15617" max="15617" width="8.75" customWidth="1"/>
    <col min="15618" max="15618" width="11" customWidth="1"/>
    <col min="15619" max="15619" width="2.875" customWidth="1"/>
    <col min="15620" max="15620" width="77.625" customWidth="1"/>
    <col min="15621" max="15621" width="20.875" customWidth="1"/>
    <col min="15871" max="15871" width="2.875" customWidth="1"/>
    <col min="15872" max="15872" width="8.125" customWidth="1"/>
    <col min="15873" max="15873" width="8.75" customWidth="1"/>
    <col min="15874" max="15874" width="11" customWidth="1"/>
    <col min="15875" max="15875" width="2.875" customWidth="1"/>
    <col min="15876" max="15876" width="77.625" customWidth="1"/>
    <col min="15877" max="15877" width="20.875" customWidth="1"/>
    <col min="16127" max="16127" width="2.875" customWidth="1"/>
    <col min="16128" max="16128" width="8.125" customWidth="1"/>
    <col min="16129" max="16129" width="8.75" customWidth="1"/>
    <col min="16130" max="16130" width="11" customWidth="1"/>
    <col min="16131" max="16131" width="2.875" customWidth="1"/>
    <col min="16132" max="16132" width="77.625" customWidth="1"/>
    <col min="16133" max="16133" width="20.875" customWidth="1"/>
  </cols>
  <sheetData>
    <row r="1" spans="1:18" ht="22.5" customHeight="1" x14ac:dyDescent="0.4">
      <c r="A1" s="35" t="s">
        <v>90</v>
      </c>
      <c r="B1" s="36"/>
      <c r="C1" s="37"/>
      <c r="D1" s="37"/>
      <c r="E1" s="37"/>
      <c r="F1" s="36"/>
      <c r="G1" s="149"/>
      <c r="H1" s="36"/>
      <c r="I1" s="36"/>
      <c r="J1" s="36"/>
      <c r="K1" s="36"/>
      <c r="L1" s="36"/>
      <c r="M1" s="36"/>
      <c r="N1" s="36"/>
      <c r="O1" s="36"/>
      <c r="P1" s="36"/>
      <c r="Q1" s="36"/>
    </row>
    <row r="2" spans="1:18" ht="22.5" customHeight="1" x14ac:dyDescent="0.4">
      <c r="A2" s="35" t="s">
        <v>206</v>
      </c>
      <c r="B2" s="36"/>
      <c r="C2" s="37"/>
      <c r="D2" s="37"/>
      <c r="E2" s="37"/>
      <c r="F2" s="36"/>
      <c r="G2" s="149"/>
      <c r="H2" s="36"/>
      <c r="I2" s="36"/>
      <c r="J2" s="36"/>
      <c r="K2" s="36"/>
      <c r="L2" s="36"/>
      <c r="M2" s="36"/>
      <c r="N2" s="36"/>
      <c r="O2" s="36"/>
      <c r="P2" s="36"/>
      <c r="Q2" s="36"/>
    </row>
    <row r="3" spans="1:18" ht="21.75" customHeight="1" x14ac:dyDescent="0.4">
      <c r="A3" s="35" t="str">
        <f>'February''25 State of Activities'!A3</f>
        <v>Two Months Ended February 28, 2025 and February 29, 2024</v>
      </c>
      <c r="B3" s="36"/>
      <c r="C3" s="37"/>
      <c r="D3" s="37"/>
      <c r="E3" s="37"/>
      <c r="F3" s="36"/>
      <c r="G3" s="149"/>
      <c r="H3" s="36"/>
      <c r="I3" s="36"/>
      <c r="J3" s="36"/>
      <c r="K3" s="36"/>
      <c r="L3" s="36"/>
      <c r="M3" s="36"/>
      <c r="N3" s="36"/>
      <c r="O3" s="36"/>
      <c r="P3" s="36"/>
      <c r="Q3" s="36"/>
    </row>
    <row r="4" spans="1:18" ht="22.5" customHeight="1" x14ac:dyDescent="0.4">
      <c r="A4" s="35">
        <f>'February''25 State of Activities'!A4</f>
        <v>0</v>
      </c>
      <c r="B4" s="36"/>
      <c r="C4" s="37"/>
      <c r="D4" s="37"/>
      <c r="E4" s="37"/>
      <c r="F4" s="36"/>
      <c r="G4" s="149"/>
      <c r="H4" s="36"/>
      <c r="I4" s="36"/>
      <c r="J4" s="36"/>
      <c r="K4" s="36"/>
      <c r="L4" s="36"/>
      <c r="M4" s="36"/>
      <c r="N4" s="36"/>
      <c r="O4" s="36"/>
      <c r="P4" s="36"/>
      <c r="Q4" s="36"/>
    </row>
    <row r="5" spans="1:18" s="39" customFormat="1" ht="8.25" customHeight="1" thickBot="1" x14ac:dyDescent="0.25">
      <c r="A5" s="38"/>
      <c r="B5" s="38"/>
      <c r="C5" s="38"/>
      <c r="D5" s="38"/>
      <c r="E5" s="38"/>
      <c r="F5" s="38"/>
      <c r="G5" s="150"/>
      <c r="R5" s="476"/>
    </row>
    <row r="6" spans="1:18" s="42" customFormat="1" ht="24.75" customHeight="1" thickTop="1" thickBot="1" x14ac:dyDescent="0.25">
      <c r="A6" s="40" t="s">
        <v>104</v>
      </c>
      <c r="B6" s="40"/>
      <c r="C6" s="40"/>
      <c r="D6" s="40"/>
      <c r="E6" s="40"/>
      <c r="F6" s="40"/>
      <c r="G6" s="269"/>
      <c r="H6" s="157" t="s">
        <v>46</v>
      </c>
      <c r="I6" s="157"/>
      <c r="J6" s="790" t="s">
        <v>46</v>
      </c>
      <c r="K6" s="790"/>
      <c r="L6" s="790"/>
      <c r="M6" s="790"/>
      <c r="N6" s="41"/>
      <c r="O6" s="277" t="s">
        <v>176</v>
      </c>
      <c r="P6" s="274" t="s">
        <v>188</v>
      </c>
      <c r="Q6" s="41"/>
      <c r="R6" s="477"/>
    </row>
    <row r="7" spans="1:18" s="44" customFormat="1" ht="8.25" customHeight="1" thickTop="1" x14ac:dyDescent="0.2">
      <c r="A7" s="43"/>
      <c r="B7" s="43"/>
      <c r="C7" s="43"/>
      <c r="D7" s="43"/>
      <c r="E7" s="43"/>
      <c r="F7" s="43"/>
      <c r="G7" s="151"/>
      <c r="R7" s="477"/>
    </row>
    <row r="8" spans="1:18" ht="21" thickBot="1" x14ac:dyDescent="0.35">
      <c r="A8" s="45"/>
      <c r="B8" s="98" t="s">
        <v>96</v>
      </c>
      <c r="C8" s="98"/>
      <c r="D8" s="98"/>
      <c r="E8" s="98"/>
      <c r="F8" s="98"/>
      <c r="G8" s="187">
        <v>41090</v>
      </c>
      <c r="H8" s="187">
        <v>41274</v>
      </c>
      <c r="I8" s="224"/>
      <c r="J8" s="187">
        <f>'February''25 State of Activities'!G8</f>
        <v>45716</v>
      </c>
      <c r="K8" s="449">
        <f>'February''25 State of Activities'!H8</f>
        <v>45657</v>
      </c>
      <c r="L8" s="224"/>
      <c r="M8" s="449">
        <f>'February''25 State of Activities'!J8</f>
        <v>45350</v>
      </c>
      <c r="O8" s="861" t="s">
        <v>373</v>
      </c>
      <c r="P8" s="861"/>
    </row>
    <row r="9" spans="1:18" s="44" customFormat="1" x14ac:dyDescent="0.2">
      <c r="A9" s="43"/>
      <c r="B9" s="43"/>
      <c r="C9" s="47" t="s">
        <v>146</v>
      </c>
      <c r="D9" s="47"/>
      <c r="E9" s="47"/>
      <c r="F9" s="43"/>
      <c r="G9" s="151">
        <v>127719</v>
      </c>
      <c r="H9" s="151">
        <v>67566.5</v>
      </c>
      <c r="I9" s="151"/>
      <c r="J9" s="160">
        <v>41504.339999999997</v>
      </c>
      <c r="K9" s="160">
        <v>158721</v>
      </c>
      <c r="L9" s="160"/>
      <c r="M9" s="160">
        <v>78675.460000000006</v>
      </c>
      <c r="O9" s="261">
        <f>J9-M9</f>
        <v>-37171.12000000001</v>
      </c>
      <c r="P9" s="275">
        <f>O9/M9</f>
        <v>-0.47246142571012623</v>
      </c>
      <c r="R9" s="477"/>
    </row>
    <row r="10" spans="1:18" s="44" customFormat="1" x14ac:dyDescent="0.2">
      <c r="A10" s="43"/>
      <c r="B10" s="43"/>
      <c r="C10" s="47" t="s">
        <v>207</v>
      </c>
      <c r="D10" s="47"/>
      <c r="E10" s="47"/>
      <c r="F10" s="43"/>
      <c r="G10" s="160">
        <v>875436</v>
      </c>
      <c r="H10" s="160">
        <v>372424.1</v>
      </c>
      <c r="I10" s="160"/>
      <c r="J10" s="151"/>
      <c r="K10" s="151">
        <v>12278.42</v>
      </c>
      <c r="L10" s="160"/>
      <c r="M10" s="151"/>
      <c r="O10" s="337">
        <f>J10-M10</f>
        <v>0</v>
      </c>
      <c r="P10" s="289" t="e">
        <f>O10/M10</f>
        <v>#DIV/0!</v>
      </c>
      <c r="R10" s="477"/>
    </row>
    <row r="11" spans="1:18" s="44" customFormat="1" x14ac:dyDescent="0.2">
      <c r="A11" s="43"/>
      <c r="B11" s="43"/>
      <c r="C11" s="47" t="s">
        <v>372</v>
      </c>
      <c r="D11" s="47"/>
      <c r="E11" s="47"/>
      <c r="F11" s="43"/>
      <c r="G11" s="160"/>
      <c r="H11" s="160"/>
      <c r="I11" s="160"/>
      <c r="J11" s="151" t="e">
        <f>'February''25 Revenues &amp; Expenses'!#REF!-K11-5010</f>
        <v>#REF!</v>
      </c>
      <c r="K11" s="151">
        <v>10616</v>
      </c>
      <c r="L11" s="160"/>
      <c r="M11" s="151"/>
      <c r="O11" s="337" t="e">
        <f>J11-M11</f>
        <v>#REF!</v>
      </c>
      <c r="P11" s="289"/>
      <c r="R11" s="477"/>
    </row>
    <row r="12" spans="1:18" s="44" customFormat="1" x14ac:dyDescent="0.2">
      <c r="A12" s="43"/>
      <c r="B12" s="43"/>
      <c r="C12" s="47" t="s">
        <v>98</v>
      </c>
      <c r="D12" s="47"/>
      <c r="E12" s="47"/>
      <c r="F12" s="43"/>
      <c r="G12" s="151"/>
      <c r="H12" s="151"/>
      <c r="I12" s="151"/>
      <c r="J12" s="151"/>
      <c r="K12" s="151"/>
      <c r="L12" s="151"/>
      <c r="M12" s="151"/>
      <c r="O12" s="337"/>
      <c r="P12" s="281"/>
      <c r="R12" s="477"/>
    </row>
    <row r="13" spans="1:18" s="44" customFormat="1" x14ac:dyDescent="0.2">
      <c r="A13" s="43"/>
      <c r="B13" s="43"/>
      <c r="D13" s="47" t="s">
        <v>208</v>
      </c>
      <c r="E13" s="47"/>
      <c r="F13" s="43"/>
      <c r="G13" s="151">
        <v>94235.25</v>
      </c>
      <c r="H13" s="151">
        <v>37190.379999999997</v>
      </c>
      <c r="I13" s="151"/>
      <c r="J13" s="151">
        <f>3750*6</f>
        <v>22500</v>
      </c>
      <c r="K13" s="151">
        <f>3708.33*12</f>
        <v>44499.96</v>
      </c>
      <c r="L13" s="151"/>
      <c r="M13" s="151">
        <f>3708.33*4</f>
        <v>14833.32</v>
      </c>
      <c r="O13" s="337">
        <f t="shared" ref="O13:O18" si="0">J13-M13</f>
        <v>7666.68</v>
      </c>
      <c r="P13" s="289">
        <f>O13/M13</f>
        <v>0.51685529604970437</v>
      </c>
      <c r="R13" s="151"/>
    </row>
    <row r="14" spans="1:18" s="44" customFormat="1" x14ac:dyDescent="0.2">
      <c r="A14" s="43"/>
      <c r="B14" s="43"/>
      <c r="D14" s="47" t="s">
        <v>154</v>
      </c>
      <c r="E14" s="47"/>
      <c r="F14" s="43"/>
      <c r="G14" s="151"/>
      <c r="H14" s="151"/>
      <c r="I14" s="151"/>
      <c r="J14" s="151">
        <f>'February''25 State of Activities'!G16</f>
        <v>3000</v>
      </c>
      <c r="K14" s="151">
        <v>13000</v>
      </c>
      <c r="L14" s="151"/>
      <c r="M14" s="151">
        <v>4333.33</v>
      </c>
      <c r="O14" s="337">
        <f t="shared" si="0"/>
        <v>-1333.33</v>
      </c>
      <c r="P14" s="289">
        <f>O14/M14</f>
        <v>-0.30769177514751933</v>
      </c>
      <c r="R14" s="477">
        <v>7500</v>
      </c>
    </row>
    <row r="15" spans="1:18" s="44" customFormat="1" x14ac:dyDescent="0.2">
      <c r="A15" s="43"/>
      <c r="B15" s="43"/>
      <c r="C15" s="47" t="s">
        <v>99</v>
      </c>
      <c r="D15" s="47"/>
      <c r="E15" s="47"/>
      <c r="F15" s="43"/>
      <c r="G15" s="151">
        <v>0</v>
      </c>
      <c r="H15" s="151">
        <v>3517</v>
      </c>
      <c r="I15" s="151"/>
      <c r="J15" s="151">
        <f>'February''25 State of Activities'!G18</f>
        <v>2223</v>
      </c>
      <c r="K15" s="151">
        <f>'February''25 State of Activities'!H18</f>
        <v>20091.96</v>
      </c>
      <c r="L15" s="151"/>
      <c r="M15" s="151">
        <f>'February''25 State of Activities'!J20</f>
        <v>20568</v>
      </c>
      <c r="O15" s="337">
        <f t="shared" si="0"/>
        <v>-18345</v>
      </c>
      <c r="P15" s="289">
        <f>O15/M15</f>
        <v>-0.89191948658109688</v>
      </c>
      <c r="R15" s="477"/>
    </row>
    <row r="16" spans="1:18" s="44" customFormat="1" x14ac:dyDescent="0.2">
      <c r="A16" s="43"/>
      <c r="B16" s="43"/>
      <c r="C16" s="47" t="s">
        <v>209</v>
      </c>
      <c r="D16" s="47"/>
      <c r="E16" s="47"/>
      <c r="F16" s="43"/>
      <c r="G16" s="151">
        <v>31459</v>
      </c>
      <c r="H16" s="151">
        <v>13920.35</v>
      </c>
      <c r="I16" s="151"/>
      <c r="J16" s="151">
        <f>'February''25 Revenues &amp; Expenses'!I25</f>
        <v>0</v>
      </c>
      <c r="K16" s="151">
        <v>25000</v>
      </c>
      <c r="L16" s="151"/>
      <c r="M16" s="151">
        <v>8153.81</v>
      </c>
      <c r="O16" s="337">
        <f t="shared" si="0"/>
        <v>-8153.81</v>
      </c>
      <c r="P16" s="289">
        <f>O16/M16</f>
        <v>-1</v>
      </c>
      <c r="R16" s="477">
        <v>11805.12</v>
      </c>
    </row>
    <row r="17" spans="1:19" s="44" customFormat="1" x14ac:dyDescent="0.2">
      <c r="A17" s="43"/>
      <c r="B17" s="43"/>
      <c r="C17" s="47" t="s">
        <v>362</v>
      </c>
      <c r="D17" s="47"/>
      <c r="E17" s="47"/>
      <c r="F17" s="43"/>
      <c r="G17" s="151"/>
      <c r="H17" s="151"/>
      <c r="I17" s="151"/>
      <c r="J17" s="151"/>
      <c r="K17" s="151">
        <v>22918.98</v>
      </c>
      <c r="L17" s="151"/>
      <c r="M17" s="151"/>
      <c r="O17" s="337">
        <f t="shared" si="0"/>
        <v>0</v>
      </c>
      <c r="P17" s="289"/>
      <c r="R17" s="477"/>
      <c r="S17" s="262"/>
    </row>
    <row r="18" spans="1:19" s="44" customFormat="1" x14ac:dyDescent="0.2">
      <c r="A18" s="43"/>
      <c r="B18" s="43"/>
      <c r="C18" s="47" t="s">
        <v>374</v>
      </c>
      <c r="D18" s="47"/>
      <c r="E18" s="47"/>
      <c r="F18" s="43"/>
      <c r="G18" s="151"/>
      <c r="H18" s="151"/>
      <c r="I18" s="151"/>
      <c r="J18" s="151">
        <f>'February''25 Revenues &amp; Expenses'!I40</f>
        <v>125000</v>
      </c>
      <c r="K18" s="151">
        <v>23967.15</v>
      </c>
      <c r="L18" s="151"/>
      <c r="M18" s="151"/>
      <c r="O18" s="337">
        <f t="shared" si="0"/>
        <v>125000</v>
      </c>
      <c r="P18" s="289"/>
      <c r="R18" s="477"/>
      <c r="S18" s="262"/>
    </row>
    <row r="19" spans="1:19" s="44" customFormat="1" x14ac:dyDescent="0.2">
      <c r="A19" s="43"/>
      <c r="B19" s="43"/>
      <c r="C19" s="47" t="s">
        <v>321</v>
      </c>
      <c r="D19" s="47"/>
      <c r="E19" s="47"/>
      <c r="F19" s="43"/>
      <c r="G19" s="151"/>
      <c r="H19" s="151"/>
      <c r="I19" s="151"/>
      <c r="J19" s="151">
        <f>'February''25 State of Activities'!G11</f>
        <v>0</v>
      </c>
      <c r="K19" s="151">
        <v>1968.5</v>
      </c>
      <c r="L19" s="151"/>
      <c r="M19" s="151">
        <f>2100.03-1250</f>
        <v>850.0300000000002</v>
      </c>
      <c r="O19" s="337">
        <f t="shared" ref="O19:O20" si="1">J19-M19</f>
        <v>-850.0300000000002</v>
      </c>
      <c r="P19" s="289"/>
      <c r="R19" s="477">
        <f>186.59-R20</f>
        <v>162.31</v>
      </c>
      <c r="S19" s="262"/>
    </row>
    <row r="20" spans="1:19" s="44" customFormat="1" x14ac:dyDescent="0.2">
      <c r="A20" s="43"/>
      <c r="B20" s="43"/>
      <c r="C20" s="792" t="s">
        <v>324</v>
      </c>
      <c r="D20" s="792"/>
      <c r="E20" s="792"/>
      <c r="F20" s="792"/>
      <c r="G20" s="151"/>
      <c r="H20" s="151"/>
      <c r="I20" s="151"/>
      <c r="J20" s="151">
        <v>0</v>
      </c>
      <c r="K20" s="151">
        <v>1127.23</v>
      </c>
      <c r="L20" s="151"/>
      <c r="M20" s="151">
        <v>177.19</v>
      </c>
      <c r="O20" s="337">
        <f t="shared" si="1"/>
        <v>-177.19</v>
      </c>
      <c r="P20" s="289"/>
      <c r="R20" s="477">
        <v>24.28</v>
      </c>
      <c r="S20" s="262"/>
    </row>
    <row r="21" spans="1:19" s="44" customFormat="1" x14ac:dyDescent="0.2">
      <c r="A21" s="43"/>
      <c r="B21" s="43"/>
      <c r="C21" s="47" t="s">
        <v>328</v>
      </c>
      <c r="D21" s="47"/>
      <c r="E21" s="47"/>
      <c r="F21" s="43"/>
      <c r="G21" s="151">
        <v>1125</v>
      </c>
      <c r="H21" s="151">
        <v>6050</v>
      </c>
      <c r="I21" s="151"/>
      <c r="J21" s="151" t="e">
        <f>'February''25 State of Activities'!#REF!</f>
        <v>#REF!</v>
      </c>
      <c r="K21" s="151" t="e">
        <f>'February''25 State of Activities'!#REF!</f>
        <v>#REF!</v>
      </c>
      <c r="L21" s="151"/>
      <c r="M21" s="151" t="e">
        <f>'February''25 State of Activities'!#REF!</f>
        <v>#REF!</v>
      </c>
      <c r="O21" s="337" t="e">
        <f>J21-M21</f>
        <v>#REF!</v>
      </c>
      <c r="P21" s="289"/>
      <c r="R21" s="477"/>
    </row>
    <row r="22" spans="1:19" s="44" customFormat="1" ht="21" thickBot="1" x14ac:dyDescent="0.25">
      <c r="A22" s="43"/>
      <c r="B22" s="43"/>
      <c r="C22" s="47" t="s">
        <v>210</v>
      </c>
      <c r="D22" s="47"/>
      <c r="E22" s="47"/>
      <c r="F22" s="43"/>
      <c r="G22" s="158">
        <v>31250</v>
      </c>
      <c r="H22" s="158">
        <v>15624.98</v>
      </c>
      <c r="I22" s="151"/>
      <c r="J22" s="158">
        <f>'February''25 State of Activities'!G26*0.2</f>
        <v>1758</v>
      </c>
      <c r="K22" s="158">
        <f>'February''25 State of Activities'!H26*0.2</f>
        <v>10548</v>
      </c>
      <c r="L22" s="151"/>
      <c r="M22" s="158">
        <f>'February''25 State of Activities'!J26*0.2</f>
        <v>1758</v>
      </c>
      <c r="O22" s="338">
        <f>J22-M22</f>
        <v>0</v>
      </c>
      <c r="P22" s="276">
        <v>0</v>
      </c>
      <c r="R22" s="477"/>
    </row>
    <row r="23" spans="1:19" s="44" customFormat="1" x14ac:dyDescent="0.2">
      <c r="A23" s="43"/>
      <c r="B23" s="43"/>
      <c r="C23" s="47"/>
      <c r="D23" s="43" t="s">
        <v>101</v>
      </c>
      <c r="E23" s="47"/>
      <c r="F23" s="43"/>
      <c r="G23" s="151">
        <v>1161224.25</v>
      </c>
      <c r="H23" s="151">
        <v>516293.30999999994</v>
      </c>
      <c r="I23" s="151"/>
      <c r="J23" s="151" t="e">
        <f>SUM(J9:J22)</f>
        <v>#REF!</v>
      </c>
      <c r="K23" s="151" t="e">
        <f>SUM(K9:K22)</f>
        <v>#REF!</v>
      </c>
      <c r="L23" s="151"/>
      <c r="M23" s="151" t="e">
        <f>SUM(M9:M22)</f>
        <v>#REF!</v>
      </c>
      <c r="O23" s="182" t="e">
        <f>SUM(O9:O22)</f>
        <v>#REF!</v>
      </c>
      <c r="P23" s="289" t="e">
        <f>O23/M23</f>
        <v>#REF!</v>
      </c>
      <c r="R23" s="477"/>
    </row>
    <row r="24" spans="1:19" s="44" customFormat="1" ht="21" thickBot="1" x14ac:dyDescent="0.25">
      <c r="A24" s="43"/>
      <c r="B24" s="43"/>
      <c r="C24" s="43" t="s">
        <v>211</v>
      </c>
      <c r="D24" s="47"/>
      <c r="E24" s="47"/>
      <c r="F24" s="43"/>
      <c r="G24" s="158">
        <v>150176</v>
      </c>
      <c r="H24" s="158">
        <v>47700.27</v>
      </c>
      <c r="I24" s="151"/>
      <c r="J24" s="151">
        <f>19000/12*6</f>
        <v>9500</v>
      </c>
      <c r="K24" s="151">
        <v>19000</v>
      </c>
      <c r="L24" s="151"/>
      <c r="M24" s="151">
        <v>6333</v>
      </c>
      <c r="O24" s="337">
        <f>J24-M24</f>
        <v>3167</v>
      </c>
      <c r="P24" s="275">
        <f>O24/M24</f>
        <v>0.50007895152376436</v>
      </c>
      <c r="R24" s="151"/>
    </row>
    <row r="25" spans="1:19" s="44" customFormat="1" ht="21" thickBot="1" x14ac:dyDescent="0.25">
      <c r="A25" s="43"/>
      <c r="B25" s="43"/>
      <c r="C25" s="43" t="s">
        <v>212</v>
      </c>
      <c r="D25" s="47"/>
      <c r="E25" s="47"/>
      <c r="F25" s="43"/>
      <c r="G25" s="151"/>
      <c r="H25" s="151"/>
      <c r="I25" s="151"/>
      <c r="J25" s="158">
        <v>13582.02</v>
      </c>
      <c r="K25" s="158">
        <v>37834.400000000001</v>
      </c>
      <c r="L25" s="151"/>
      <c r="M25" s="158">
        <v>14484</v>
      </c>
      <c r="O25" s="260">
        <f>J25-M25</f>
        <v>-901.97999999999956</v>
      </c>
      <c r="P25" s="313">
        <f>O25/M25</f>
        <v>-6.2274233637116788E-2</v>
      </c>
      <c r="R25" s="477"/>
    </row>
    <row r="26" spans="1:19" s="44" customFormat="1" x14ac:dyDescent="0.2">
      <c r="A26" s="43"/>
      <c r="B26" s="43"/>
      <c r="C26" s="47"/>
      <c r="D26" s="43" t="s">
        <v>103</v>
      </c>
      <c r="E26" s="47"/>
      <c r="F26" s="43"/>
      <c r="G26" s="151">
        <v>1311400.25</v>
      </c>
      <c r="H26" s="151">
        <v>563993.57999999996</v>
      </c>
      <c r="I26" s="151"/>
      <c r="J26" s="151" t="e">
        <f>SUM(J23:J25)</f>
        <v>#REF!</v>
      </c>
      <c r="K26" s="151" t="e">
        <f>SUM(K23:K25)</f>
        <v>#REF!</v>
      </c>
      <c r="L26" s="151"/>
      <c r="M26" s="151" t="e">
        <f>SUM(M23:M25)</f>
        <v>#REF!</v>
      </c>
      <c r="O26" s="182" t="e">
        <f>J26-M26</f>
        <v>#REF!</v>
      </c>
      <c r="P26" s="289" t="e">
        <f>O26/M26</f>
        <v>#REF!</v>
      </c>
      <c r="R26" s="477"/>
    </row>
    <row r="27" spans="1:19" s="44" customFormat="1" x14ac:dyDescent="0.2">
      <c r="A27" s="43"/>
      <c r="B27" s="43"/>
      <c r="C27" s="47"/>
      <c r="D27" s="43"/>
      <c r="E27" s="47"/>
      <c r="F27" s="43"/>
      <c r="G27" s="151"/>
      <c r="H27" s="151"/>
      <c r="I27" s="151"/>
      <c r="J27" s="151"/>
      <c r="K27" s="406"/>
      <c r="L27" s="151"/>
      <c r="M27" s="151"/>
      <c r="R27" s="477"/>
    </row>
    <row r="28" spans="1:19" s="44" customFormat="1" ht="21" thickBot="1" x14ac:dyDescent="0.25">
      <c r="A28" s="43"/>
      <c r="B28" s="55" t="s">
        <v>107</v>
      </c>
      <c r="C28" s="55"/>
      <c r="D28" s="55"/>
      <c r="E28" s="55"/>
      <c r="F28" s="55"/>
      <c r="G28" s="158"/>
      <c r="J28" s="151"/>
      <c r="R28" s="477"/>
    </row>
    <row r="29" spans="1:19" s="44" customFormat="1" x14ac:dyDescent="0.2">
      <c r="A29" s="43"/>
      <c r="B29" s="43"/>
      <c r="C29" s="47" t="s">
        <v>213</v>
      </c>
      <c r="D29" s="47"/>
      <c r="E29" s="47"/>
      <c r="F29" s="47"/>
      <c r="G29" s="151">
        <v>733747.79999999993</v>
      </c>
      <c r="H29" s="182">
        <v>361976</v>
      </c>
      <c r="I29" s="182"/>
      <c r="J29" s="151"/>
      <c r="K29" s="182"/>
      <c r="L29" s="182"/>
      <c r="M29" s="182"/>
      <c r="R29" s="477"/>
    </row>
    <row r="30" spans="1:19" s="44" customFormat="1" x14ac:dyDescent="0.2">
      <c r="A30" s="43"/>
      <c r="B30" s="43"/>
      <c r="C30" s="47"/>
      <c r="D30" s="792" t="s">
        <v>214</v>
      </c>
      <c r="E30" s="792"/>
      <c r="F30" s="792"/>
      <c r="G30" s="151"/>
      <c r="H30" s="182"/>
      <c r="I30" s="182"/>
      <c r="J30" s="151">
        <v>64964.65</v>
      </c>
      <c r="K30" s="151">
        <v>162253.75</v>
      </c>
      <c r="L30" s="182"/>
      <c r="M30" s="151">
        <v>82702.42</v>
      </c>
      <c r="O30" s="182">
        <f t="shared" ref="O30:O50" si="2">J30-M30</f>
        <v>-17737.769999999997</v>
      </c>
      <c r="P30" s="289">
        <f>O30/M30</f>
        <v>-0.21447703706856458</v>
      </c>
      <c r="R30" s="477">
        <f>J30</f>
        <v>64964.65</v>
      </c>
    </row>
    <row r="31" spans="1:19" s="44" customFormat="1" x14ac:dyDescent="0.2">
      <c r="A31" s="43"/>
      <c r="B31" s="43"/>
      <c r="C31" s="47"/>
      <c r="D31" s="792" t="s">
        <v>215</v>
      </c>
      <c r="E31" s="792"/>
      <c r="F31" s="792"/>
      <c r="G31" s="151"/>
      <c r="H31" s="182"/>
      <c r="I31" s="182"/>
      <c r="J31" s="151">
        <f>23219.46+7406.6</f>
        <v>30626.059999999998</v>
      </c>
      <c r="K31" s="151">
        <f>37966.12+23862.63+605.03+106.59</f>
        <v>62540.369999999995</v>
      </c>
      <c r="L31" s="182"/>
      <c r="M31" s="151">
        <f>18368.1+11845.56</f>
        <v>30213.659999999996</v>
      </c>
      <c r="O31" s="182">
        <f t="shared" si="2"/>
        <v>412.40000000000146</v>
      </c>
      <c r="P31" s="289">
        <f>O31/M31</f>
        <v>1.3649455246401843E-2</v>
      </c>
      <c r="R31" s="477">
        <f>J31</f>
        <v>30626.059999999998</v>
      </c>
    </row>
    <row r="32" spans="1:19" s="44" customFormat="1" x14ac:dyDescent="0.2">
      <c r="A32" s="43"/>
      <c r="B32" s="43"/>
      <c r="C32" s="47"/>
      <c r="D32" s="792" t="s">
        <v>109</v>
      </c>
      <c r="E32" s="792"/>
      <c r="F32" s="792"/>
      <c r="G32" s="151"/>
      <c r="H32" s="182"/>
      <c r="I32" s="182"/>
      <c r="J32" s="151">
        <v>15442.94</v>
      </c>
      <c r="K32" s="151">
        <v>42279.58</v>
      </c>
      <c r="L32" s="182"/>
      <c r="M32" s="151">
        <f>(M30+M31)*0.18</f>
        <v>20324.894399999997</v>
      </c>
      <c r="O32" s="182">
        <f t="shared" si="2"/>
        <v>-4881.9543999999969</v>
      </c>
      <c r="P32" s="289">
        <f>O32/M32</f>
        <v>-0.24019580638017965</v>
      </c>
      <c r="R32" s="162">
        <f>J32</f>
        <v>15442.94</v>
      </c>
    </row>
    <row r="33" spans="1:19" s="44" customFormat="1" x14ac:dyDescent="0.2">
      <c r="A33" s="43"/>
      <c r="B33" s="43"/>
      <c r="C33" s="47" t="s">
        <v>268</v>
      </c>
      <c r="D33" s="47"/>
      <c r="E33" s="47"/>
      <c r="F33" s="47"/>
      <c r="G33" s="151">
        <v>44745.18</v>
      </c>
      <c r="H33" s="151">
        <v>20974.21</v>
      </c>
      <c r="I33" s="151"/>
      <c r="J33" s="151"/>
      <c r="K33" s="406"/>
      <c r="L33" s="151"/>
      <c r="M33" s="406"/>
      <c r="O33" s="182">
        <f t="shared" si="2"/>
        <v>0</v>
      </c>
      <c r="P33" s="289"/>
      <c r="R33" s="477"/>
      <c r="S33" s="44">
        <f>R32/(R30+R31)</f>
        <v>0.16155272829336662</v>
      </c>
    </row>
    <row r="34" spans="1:19" s="44" customFormat="1" x14ac:dyDescent="0.2">
      <c r="A34" s="43"/>
      <c r="B34" s="43"/>
      <c r="C34" s="47"/>
      <c r="D34" s="792" t="s">
        <v>216</v>
      </c>
      <c r="E34" s="792"/>
      <c r="F34" s="792"/>
      <c r="G34" s="151"/>
      <c r="H34" s="151"/>
      <c r="I34" s="151"/>
      <c r="J34" s="151">
        <v>7876.42</v>
      </c>
      <c r="K34" s="151">
        <v>25472.83</v>
      </c>
      <c r="L34" s="151"/>
      <c r="M34" s="151">
        <v>8106.06</v>
      </c>
      <c r="O34" s="182">
        <f t="shared" si="2"/>
        <v>-229.64000000000033</v>
      </c>
      <c r="P34" s="289">
        <f t="shared" ref="P34:P41" si="3">O34/M34</f>
        <v>-2.832942267883538E-2</v>
      </c>
      <c r="R34" s="477">
        <v>7876.42</v>
      </c>
    </row>
    <row r="35" spans="1:19" s="44" customFormat="1" x14ac:dyDescent="0.2">
      <c r="A35" s="43"/>
      <c r="B35" s="43"/>
      <c r="C35" s="47"/>
      <c r="D35" s="792" t="s">
        <v>217</v>
      </c>
      <c r="E35" s="792"/>
      <c r="F35" s="792"/>
      <c r="G35" s="151"/>
      <c r="H35" s="151"/>
      <c r="I35" s="151"/>
      <c r="J35" s="151">
        <v>11303.34</v>
      </c>
      <c r="K35" s="151">
        <v>17989.87</v>
      </c>
      <c r="L35" s="151"/>
      <c r="M35" s="151">
        <v>5932.49</v>
      </c>
      <c r="O35" s="182">
        <f t="shared" si="2"/>
        <v>5370.85</v>
      </c>
      <c r="P35" s="289">
        <f t="shared" si="3"/>
        <v>0.90532811686155401</v>
      </c>
      <c r="R35" s="477">
        <v>11303.34</v>
      </c>
    </row>
    <row r="36" spans="1:19" s="44" customFormat="1" x14ac:dyDescent="0.2">
      <c r="A36" s="43"/>
      <c r="B36" s="43"/>
      <c r="C36" s="47"/>
      <c r="D36" s="792" t="s">
        <v>293</v>
      </c>
      <c r="E36" s="792"/>
      <c r="F36" s="792"/>
      <c r="G36" s="151"/>
      <c r="H36" s="151"/>
      <c r="I36" s="151"/>
      <c r="J36" s="151">
        <v>11898.19</v>
      </c>
      <c r="K36" s="151">
        <v>16090.9</v>
      </c>
      <c r="L36" s="151"/>
      <c r="M36" s="151">
        <v>7105.84</v>
      </c>
      <c r="O36" s="182">
        <f t="shared" si="2"/>
        <v>4792.3500000000004</v>
      </c>
      <c r="P36" s="289">
        <f t="shared" si="3"/>
        <v>0.6744241356405436</v>
      </c>
      <c r="R36" s="477">
        <v>11898.19</v>
      </c>
    </row>
    <row r="37" spans="1:19" s="44" customFormat="1" x14ac:dyDescent="0.2">
      <c r="A37" s="43"/>
      <c r="B37" s="43"/>
      <c r="C37" s="47"/>
      <c r="D37" s="792" t="s">
        <v>218</v>
      </c>
      <c r="E37" s="792"/>
      <c r="F37" s="792"/>
      <c r="G37" s="151"/>
      <c r="H37" s="151"/>
      <c r="I37" s="151"/>
      <c r="J37" s="151">
        <v>307</v>
      </c>
      <c r="K37" s="151">
        <v>1427.75</v>
      </c>
      <c r="L37" s="151"/>
      <c r="M37" s="151">
        <v>79</v>
      </c>
      <c r="O37" s="182">
        <f t="shared" si="2"/>
        <v>228</v>
      </c>
      <c r="P37" s="289">
        <f t="shared" si="3"/>
        <v>2.8860759493670884</v>
      </c>
      <c r="R37" s="477">
        <v>307</v>
      </c>
    </row>
    <row r="38" spans="1:19" s="44" customFormat="1" x14ac:dyDescent="0.2">
      <c r="A38" s="43"/>
      <c r="B38" s="43"/>
      <c r="C38" s="47" t="s">
        <v>219</v>
      </c>
      <c r="D38" s="47"/>
      <c r="E38" s="47"/>
      <c r="F38" s="47"/>
      <c r="G38" s="151">
        <v>27200</v>
      </c>
      <c r="H38" s="151">
        <v>11327</v>
      </c>
      <c r="I38" s="151"/>
      <c r="J38" s="151">
        <v>15180</v>
      </c>
      <c r="K38" s="151">
        <f>22438.68+1591</f>
        <v>24029.68</v>
      </c>
      <c r="L38" s="151"/>
      <c r="M38" s="151">
        <f>530.32+7060.24</f>
        <v>7590.5599999999995</v>
      </c>
      <c r="O38" s="182">
        <f t="shared" si="2"/>
        <v>7589.4400000000005</v>
      </c>
      <c r="P38" s="289">
        <f t="shared" si="3"/>
        <v>0.99985244830420961</v>
      </c>
      <c r="R38" s="477">
        <f>930+14250</f>
        <v>15180</v>
      </c>
    </row>
    <row r="39" spans="1:19" s="44" customFormat="1" x14ac:dyDescent="0.2">
      <c r="A39" s="43"/>
      <c r="B39" s="43"/>
      <c r="C39" s="47" t="s">
        <v>100</v>
      </c>
      <c r="D39" s="47"/>
      <c r="E39" s="47"/>
      <c r="F39" s="47"/>
      <c r="G39" s="151">
        <v>150176</v>
      </c>
      <c r="H39" s="182">
        <v>47700.27</v>
      </c>
      <c r="I39" s="182"/>
      <c r="J39" s="151">
        <f>J22</f>
        <v>1758</v>
      </c>
      <c r="K39" s="151">
        <f>K22</f>
        <v>10548</v>
      </c>
      <c r="L39" s="182"/>
      <c r="M39" s="151">
        <f>M22</f>
        <v>1758</v>
      </c>
      <c r="O39" s="182">
        <f t="shared" si="2"/>
        <v>0</v>
      </c>
      <c r="P39" s="289">
        <f t="shared" si="3"/>
        <v>0</v>
      </c>
      <c r="R39" s="477"/>
    </row>
    <row r="40" spans="1:19" s="44" customFormat="1" x14ac:dyDescent="0.2">
      <c r="A40" s="43"/>
      <c r="B40" s="43"/>
      <c r="C40" s="47" t="s">
        <v>301</v>
      </c>
      <c r="D40" s="47"/>
      <c r="E40" s="47"/>
      <c r="F40" s="47"/>
      <c r="G40" s="151"/>
      <c r="H40" s="182"/>
      <c r="I40" s="182"/>
      <c r="J40" s="151">
        <f>1268+392</f>
        <v>1660</v>
      </c>
      <c r="K40" s="151">
        <v>4497</v>
      </c>
      <c r="L40" s="182"/>
      <c r="M40" s="151">
        <v>1388</v>
      </c>
      <c r="O40" s="182">
        <f t="shared" si="2"/>
        <v>272</v>
      </c>
      <c r="P40" s="289">
        <f t="shared" si="3"/>
        <v>0.19596541786743515</v>
      </c>
      <c r="R40" s="477">
        <v>2437</v>
      </c>
    </row>
    <row r="41" spans="1:19" s="44" customFormat="1" x14ac:dyDescent="0.2">
      <c r="A41" s="43"/>
      <c r="B41" s="43"/>
      <c r="C41" s="47" t="s">
        <v>220</v>
      </c>
      <c r="D41" s="47"/>
      <c r="E41" s="47"/>
      <c r="F41" s="47"/>
      <c r="G41" s="151"/>
      <c r="H41" s="182"/>
      <c r="I41" s="182"/>
      <c r="J41" s="151">
        <v>954</v>
      </c>
      <c r="K41" s="151">
        <f>75+874</f>
        <v>949</v>
      </c>
      <c r="L41" s="182"/>
      <c r="M41" s="151">
        <f>393+75</f>
        <v>468</v>
      </c>
      <c r="O41" s="182">
        <f t="shared" si="2"/>
        <v>486</v>
      </c>
      <c r="P41" s="289">
        <f t="shared" si="3"/>
        <v>1.0384615384615385</v>
      </c>
      <c r="R41" s="477">
        <f>105+877</f>
        <v>982</v>
      </c>
      <c r="S41" s="473">
        <f>R41</f>
        <v>982</v>
      </c>
    </row>
    <row r="42" spans="1:19" s="44" customFormat="1" x14ac:dyDescent="0.2">
      <c r="A42" s="43"/>
      <c r="B42" s="43"/>
      <c r="C42" s="47" t="s">
        <v>365</v>
      </c>
      <c r="D42" s="47"/>
      <c r="E42" s="47"/>
      <c r="F42" s="47"/>
      <c r="G42" s="151">
        <v>10993.12</v>
      </c>
      <c r="H42" s="182">
        <v>4904.57</v>
      </c>
      <c r="I42" s="182"/>
      <c r="J42" s="151">
        <f>1600.82+472.16</f>
        <v>2072.98</v>
      </c>
      <c r="K42" s="151">
        <v>4436.1400000000003</v>
      </c>
      <c r="L42" s="182"/>
      <c r="M42" s="151">
        <f>18.18+1152.17</f>
        <v>1170.3500000000001</v>
      </c>
      <c r="O42" s="182">
        <f t="shared" si="2"/>
        <v>902.62999999999988</v>
      </c>
      <c r="P42" s="289">
        <f>O42/M42</f>
        <v>0.77124791728969944</v>
      </c>
      <c r="R42" s="477">
        <f>757.49+3120.83+26.18</f>
        <v>3904.4999999999995</v>
      </c>
    </row>
    <row r="43" spans="1:19" s="44" customFormat="1" x14ac:dyDescent="0.2">
      <c r="A43" s="43"/>
      <c r="B43" s="43"/>
      <c r="C43" s="47" t="s">
        <v>221</v>
      </c>
      <c r="D43" s="47"/>
      <c r="E43" s="47"/>
      <c r="F43" s="47"/>
      <c r="G43" s="151">
        <v>10250.949999999999</v>
      </c>
      <c r="H43" s="182">
        <v>3982.99</v>
      </c>
      <c r="I43" s="182"/>
      <c r="J43" s="151">
        <f>41.5+32.88</f>
        <v>74.38</v>
      </c>
      <c r="K43" s="151">
        <f>223.01+568.51</f>
        <v>791.52</v>
      </c>
      <c r="L43" s="182"/>
      <c r="M43" s="151">
        <f>11.58+94.37+34.1+4.4</f>
        <v>144.45000000000002</v>
      </c>
      <c r="O43" s="182">
        <f t="shared" si="2"/>
        <v>-70.070000000000022</v>
      </c>
      <c r="P43" s="289">
        <f>O43/M43</f>
        <v>-0.48508134302526834</v>
      </c>
      <c r="R43" s="477">
        <f>9.2+72.5+8.53+225.13</f>
        <v>315.36</v>
      </c>
      <c r="S43" s="473">
        <f>R43</f>
        <v>315.36</v>
      </c>
    </row>
    <row r="44" spans="1:19" s="44" customFormat="1" x14ac:dyDescent="0.2">
      <c r="A44" s="43"/>
      <c r="B44" s="43"/>
      <c r="C44" s="47" t="s">
        <v>118</v>
      </c>
      <c r="D44" s="47"/>
      <c r="E44" s="47"/>
      <c r="F44" s="47"/>
      <c r="G44" s="151">
        <v>4412.53</v>
      </c>
      <c r="H44" s="183">
        <v>5667</v>
      </c>
      <c r="I44" s="183"/>
      <c r="J44" s="151">
        <f>473.98+380.58+21.4+125</f>
        <v>1000.9599999999999</v>
      </c>
      <c r="K44" s="151">
        <v>1826.56</v>
      </c>
      <c r="L44" s="183"/>
      <c r="M44" s="151">
        <f>72.06+953.27</f>
        <v>1025.33</v>
      </c>
      <c r="O44" s="182">
        <f t="shared" si="2"/>
        <v>-24.370000000000005</v>
      </c>
      <c r="P44" s="289">
        <f>O44/M44</f>
        <v>-2.3767957633152259E-2</v>
      </c>
      <c r="R44" s="477">
        <f>108.49+189+1123.3</f>
        <v>1420.79</v>
      </c>
    </row>
    <row r="45" spans="1:19" s="44" customFormat="1" x14ac:dyDescent="0.2">
      <c r="A45" s="43"/>
      <c r="B45" s="43"/>
      <c r="C45" s="47" t="s">
        <v>116</v>
      </c>
      <c r="D45" s="47"/>
      <c r="E45" s="47"/>
      <c r="F45" s="47"/>
      <c r="G45" s="151">
        <v>7901</v>
      </c>
      <c r="H45" s="182">
        <v>4149.6000000000004</v>
      </c>
      <c r="I45" s="182"/>
      <c r="J45" s="151">
        <f>84.85+28.27</f>
        <v>113.11999999999999</v>
      </c>
      <c r="K45" s="151">
        <v>396.82</v>
      </c>
      <c r="L45" s="182"/>
      <c r="M45" s="151">
        <f>150.1</f>
        <v>150.1</v>
      </c>
      <c r="O45" s="182">
        <f t="shared" si="2"/>
        <v>-36.980000000000004</v>
      </c>
      <c r="P45" s="289">
        <f>O45/M45</f>
        <v>-0.24636908727514994</v>
      </c>
      <c r="R45" s="477">
        <f>0.1+152.24</f>
        <v>152.34</v>
      </c>
      <c r="S45" s="473">
        <f>R45</f>
        <v>152.34</v>
      </c>
    </row>
    <row r="46" spans="1:19" s="44" customFormat="1" hidden="1" x14ac:dyDescent="0.2">
      <c r="A46" s="43"/>
      <c r="B46" s="43"/>
      <c r="C46" s="47" t="s">
        <v>222</v>
      </c>
      <c r="D46" s="47"/>
      <c r="E46" s="47"/>
      <c r="F46" s="47"/>
      <c r="G46" s="151"/>
      <c r="H46" s="182"/>
      <c r="I46" s="182"/>
      <c r="J46" s="151"/>
      <c r="K46" s="151"/>
      <c r="L46" s="182"/>
      <c r="M46" s="151"/>
      <c r="O46" s="182">
        <f t="shared" si="2"/>
        <v>0</v>
      </c>
      <c r="P46" s="289"/>
      <c r="R46" s="477"/>
    </row>
    <row r="47" spans="1:19" s="44" customFormat="1" x14ac:dyDescent="0.2">
      <c r="A47" s="47"/>
      <c r="B47" s="47"/>
      <c r="C47" s="47" t="s">
        <v>112</v>
      </c>
      <c r="D47" s="47"/>
      <c r="E47" s="47"/>
      <c r="F47" s="47"/>
      <c r="G47" s="151">
        <v>5428.37</v>
      </c>
      <c r="H47" s="182">
        <v>2024.52</v>
      </c>
      <c r="I47" s="182"/>
      <c r="J47" s="151">
        <f>144.57+13.67</f>
        <v>158.23999999999998</v>
      </c>
      <c r="K47" s="151">
        <v>422.62</v>
      </c>
      <c r="L47" s="182"/>
      <c r="M47" s="151">
        <v>151.52000000000001</v>
      </c>
      <c r="O47" s="182">
        <f t="shared" si="2"/>
        <v>6.7199999999999704</v>
      </c>
      <c r="P47" s="289">
        <f>O47/M47</f>
        <v>4.4350580781414795E-2</v>
      </c>
      <c r="R47" s="477">
        <v>207.91</v>
      </c>
    </row>
    <row r="48" spans="1:19" s="44" customFormat="1" x14ac:dyDescent="0.2">
      <c r="A48" s="47"/>
      <c r="B48" s="47"/>
      <c r="C48" s="47" t="s">
        <v>223</v>
      </c>
      <c r="D48" s="47"/>
      <c r="E48" s="47"/>
      <c r="F48" s="47"/>
      <c r="G48" s="151">
        <v>83462.91</v>
      </c>
      <c r="H48" s="151">
        <v>18995.71</v>
      </c>
      <c r="I48" s="151"/>
      <c r="J48" s="153">
        <f>43.18+110</f>
        <v>153.18</v>
      </c>
      <c r="K48" s="153">
        <f>248.22+18.56+28.25+5</f>
        <v>300.02999999999997</v>
      </c>
      <c r="L48" s="151"/>
      <c r="M48" s="153">
        <v>58.6</v>
      </c>
      <c r="O48" s="340">
        <f t="shared" si="2"/>
        <v>94.580000000000013</v>
      </c>
      <c r="P48" s="339">
        <f>O48/M48</f>
        <v>1.6139931740614337</v>
      </c>
      <c r="R48" s="477">
        <f>25+228.45+110</f>
        <v>363.45</v>
      </c>
    </row>
    <row r="49" spans="1:18" s="44" customFormat="1" ht="21" thickBot="1" x14ac:dyDescent="0.25">
      <c r="A49" s="43"/>
      <c r="B49" s="43"/>
      <c r="C49" s="43"/>
      <c r="D49" s="43" t="s">
        <v>124</v>
      </c>
      <c r="E49" s="43"/>
      <c r="F49" s="43"/>
      <c r="G49" s="158">
        <v>1078317.8599999999</v>
      </c>
      <c r="H49" s="158">
        <v>481701.87000000005</v>
      </c>
      <c r="I49" s="151"/>
      <c r="J49" s="315">
        <f>SUM(J30:J48)</f>
        <v>165543.45999999996</v>
      </c>
      <c r="K49" s="315">
        <f>SUM(K30:K48)</f>
        <v>376252.4200000001</v>
      </c>
      <c r="L49" s="151"/>
      <c r="M49" s="315">
        <f>SUM(M30:M48)</f>
        <v>168369.27439999997</v>
      </c>
      <c r="O49" s="315">
        <f t="shared" si="2"/>
        <v>-2825.8144000000029</v>
      </c>
      <c r="P49" s="313">
        <f>O49/M49</f>
        <v>-1.6783432785287357E-2</v>
      </c>
      <c r="R49" s="477"/>
    </row>
    <row r="50" spans="1:18" s="44" customFormat="1" ht="21" thickBot="1" x14ac:dyDescent="0.25">
      <c r="A50" s="43"/>
      <c r="B50" s="43"/>
      <c r="C50" s="43"/>
      <c r="D50" s="43" t="s">
        <v>125</v>
      </c>
      <c r="E50" s="43"/>
      <c r="F50" s="43"/>
      <c r="G50" s="158">
        <v>233082.39000000013</v>
      </c>
      <c r="H50" s="158">
        <v>82291.709999999905</v>
      </c>
      <c r="I50" s="151"/>
      <c r="J50" s="316" t="e">
        <f>J26-J49</f>
        <v>#REF!</v>
      </c>
      <c r="K50" s="316" t="e">
        <f>K26-K49</f>
        <v>#REF!</v>
      </c>
      <c r="L50" s="151"/>
      <c r="M50" s="316" t="e">
        <f>M26-M49</f>
        <v>#REF!</v>
      </c>
      <c r="O50" s="260" t="e">
        <f t="shared" si="2"/>
        <v>#REF!</v>
      </c>
      <c r="P50" s="313" t="e">
        <f>O50/M50</f>
        <v>#REF!</v>
      </c>
      <c r="R50" s="477">
        <f>SUM(R29:R49)</f>
        <v>167381.94999999998</v>
      </c>
    </row>
    <row r="51" spans="1:18" s="44" customFormat="1" x14ac:dyDescent="0.2">
      <c r="A51" s="43"/>
      <c r="B51" s="43"/>
      <c r="C51" s="43"/>
      <c r="D51" s="43"/>
      <c r="E51" s="43"/>
      <c r="F51" s="43"/>
      <c r="G51" s="151"/>
      <c r="H51" s="151"/>
      <c r="I51" s="151"/>
      <c r="J51" s="151"/>
      <c r="K51" s="151"/>
      <c r="L51" s="151"/>
      <c r="M51" s="151"/>
      <c r="R51" s="477"/>
    </row>
    <row r="52" spans="1:18" s="41" customFormat="1" ht="26.25" x14ac:dyDescent="0.2">
      <c r="A52" s="176"/>
      <c r="B52" s="176"/>
      <c r="C52" s="47" t="s">
        <v>258</v>
      </c>
      <c r="E52" s="47"/>
      <c r="F52" s="47"/>
      <c r="G52" s="178"/>
      <c r="H52" s="151"/>
      <c r="I52" s="151"/>
      <c r="J52" s="151"/>
      <c r="K52" s="151">
        <v>-69500</v>
      </c>
      <c r="L52" s="151"/>
      <c r="M52" s="151"/>
      <c r="O52" s="182">
        <f>J52-M52</f>
        <v>0</v>
      </c>
      <c r="P52" s="275"/>
      <c r="R52" s="477"/>
    </row>
    <row r="53" spans="1:18" s="44" customFormat="1" x14ac:dyDescent="0.2">
      <c r="A53" s="43"/>
      <c r="B53" s="43"/>
      <c r="C53" s="47" t="s">
        <v>224</v>
      </c>
      <c r="E53" s="43"/>
      <c r="G53" s="151"/>
      <c r="H53" s="151"/>
      <c r="I53" s="151"/>
      <c r="J53" s="151">
        <f>J38</f>
        <v>15180</v>
      </c>
      <c r="K53" s="151">
        <f>K38</f>
        <v>24029.68</v>
      </c>
      <c r="L53" s="151"/>
      <c r="M53" s="151">
        <f>M38</f>
        <v>7590.5599999999995</v>
      </c>
      <c r="O53" s="182">
        <f>J53-M53</f>
        <v>7589.4400000000005</v>
      </c>
      <c r="P53" s="275">
        <v>3.5414486921529216E-2</v>
      </c>
      <c r="R53" s="477"/>
    </row>
    <row r="54" spans="1:18" s="44" customFormat="1" ht="24" thickBot="1" x14ac:dyDescent="0.25">
      <c r="A54" s="43"/>
      <c r="B54" s="179"/>
      <c r="C54" s="43"/>
      <c r="D54" s="795" t="s">
        <v>225</v>
      </c>
      <c r="E54" s="795"/>
      <c r="F54" s="795"/>
      <c r="G54" s="151"/>
      <c r="H54" s="151"/>
      <c r="I54" s="151"/>
      <c r="J54" s="317" t="e">
        <f>J50+J52+J53</f>
        <v>#REF!</v>
      </c>
      <c r="K54" s="317" t="e">
        <f>K50+K52+K53</f>
        <v>#REF!</v>
      </c>
      <c r="L54" s="160"/>
      <c r="M54" s="317" t="e">
        <f>M50+M52+M53</f>
        <v>#REF!</v>
      </c>
      <c r="N54" s="262"/>
      <c r="O54" s="314" t="e">
        <f>J54-M54</f>
        <v>#REF!</v>
      </c>
      <c r="P54" s="336">
        <v>2.1062768618503362E-2</v>
      </c>
      <c r="R54" s="477"/>
    </row>
    <row r="55" spans="1:18" s="44" customFormat="1" ht="42" customHeight="1" thickTop="1" x14ac:dyDescent="0.2">
      <c r="A55" s="43"/>
      <c r="B55" s="43"/>
      <c r="C55" s="43"/>
      <c r="D55" s="43"/>
      <c r="E55" s="43"/>
      <c r="F55" s="43"/>
      <c r="G55" s="151"/>
      <c r="H55" s="151"/>
      <c r="I55" s="151"/>
      <c r="J55" s="151"/>
      <c r="K55" s="151"/>
      <c r="L55" s="151"/>
      <c r="M55" s="151"/>
      <c r="R55" s="477"/>
    </row>
    <row r="56" spans="1:18" s="44" customFormat="1" x14ac:dyDescent="0.2">
      <c r="A56" s="47"/>
      <c r="B56" s="47"/>
      <c r="C56" s="47"/>
      <c r="D56" s="47"/>
      <c r="F56" s="47" t="s">
        <v>297</v>
      </c>
      <c r="G56" s="160"/>
      <c r="H56" s="151"/>
      <c r="I56" s="151"/>
      <c r="J56" s="151">
        <v>62742</v>
      </c>
      <c r="K56" s="151">
        <v>227723</v>
      </c>
      <c r="L56" s="151"/>
      <c r="M56" s="151">
        <v>74506</v>
      </c>
      <c r="O56" s="162"/>
      <c r="R56" s="477"/>
    </row>
    <row r="57" spans="1:18" s="44" customFormat="1" ht="21" thickBot="1" x14ac:dyDescent="0.25">
      <c r="A57" s="47"/>
      <c r="B57" s="47"/>
      <c r="C57" s="47"/>
      <c r="D57" s="47"/>
      <c r="F57" s="47" t="s">
        <v>302</v>
      </c>
      <c r="G57" s="151"/>
      <c r="H57" s="151"/>
      <c r="I57" s="151"/>
      <c r="J57" s="411">
        <f>(J49-J38-J39)/J56</f>
        <v>2.3685164642504217</v>
      </c>
      <c r="K57" s="411">
        <f>(K49-K38-K39)/K56</f>
        <v>1.5003962709080774</v>
      </c>
      <c r="L57" s="412"/>
      <c r="M57" s="411">
        <f>(M49-M38-M39)/M56</f>
        <v>2.1343343408584539</v>
      </c>
      <c r="R57" s="477"/>
    </row>
    <row r="58" spans="1:18" s="44" customFormat="1" x14ac:dyDescent="0.2">
      <c r="A58" s="47"/>
      <c r="B58" s="47"/>
      <c r="C58" s="47"/>
      <c r="D58" s="47"/>
      <c r="F58" s="47"/>
      <c r="G58" s="151"/>
      <c r="H58" s="151"/>
      <c r="I58" s="151"/>
      <c r="J58" s="151"/>
      <c r="K58" s="151"/>
      <c r="L58" s="151"/>
      <c r="M58" s="151"/>
      <c r="R58" s="477"/>
    </row>
    <row r="59" spans="1:18" s="44" customFormat="1" x14ac:dyDescent="0.2">
      <c r="A59" s="47"/>
      <c r="B59" s="47"/>
      <c r="C59" s="47"/>
      <c r="D59" s="47"/>
      <c r="F59" s="47" t="s">
        <v>298</v>
      </c>
      <c r="G59" s="151"/>
      <c r="H59" s="151"/>
      <c r="I59" s="151"/>
      <c r="J59" s="151">
        <v>4125</v>
      </c>
      <c r="K59" s="151">
        <v>16457</v>
      </c>
      <c r="L59" s="151"/>
      <c r="M59" s="151">
        <v>5516</v>
      </c>
      <c r="P59" s="162"/>
      <c r="R59" s="477"/>
    </row>
    <row r="60" spans="1:18" s="44" customFormat="1" ht="21" thickBot="1" x14ac:dyDescent="0.25">
      <c r="A60" s="47"/>
      <c r="B60" s="47"/>
      <c r="C60" s="47"/>
      <c r="D60" s="47"/>
      <c r="F60" s="47" t="s">
        <v>355</v>
      </c>
      <c r="G60" s="151"/>
      <c r="H60" s="151"/>
      <c r="I60" s="151"/>
      <c r="J60" s="411">
        <f>(J49-J38-J39)/J59</f>
        <v>36.025566060606053</v>
      </c>
      <c r="K60" s="411">
        <f>(K49-K38-K39)/K59</f>
        <v>20.761666160296535</v>
      </c>
      <c r="L60" s="151"/>
      <c r="M60" s="411">
        <f>(M49-M38-M39)/M59</f>
        <v>28.828991007976789</v>
      </c>
      <c r="R60" s="477"/>
    </row>
    <row r="61" spans="1:18" s="44" customFormat="1" x14ac:dyDescent="0.2">
      <c r="A61" s="47"/>
      <c r="B61" s="47"/>
      <c r="C61" s="47"/>
      <c r="D61" s="47"/>
      <c r="F61" s="47"/>
      <c r="G61" s="151"/>
      <c r="H61" s="151"/>
      <c r="I61" s="151"/>
      <c r="J61" s="151"/>
      <c r="K61" s="151"/>
      <c r="L61" s="151"/>
      <c r="M61" s="151"/>
      <c r="R61" s="477"/>
    </row>
    <row r="62" spans="1:18" s="44" customFormat="1" x14ac:dyDescent="0.2">
      <c r="A62" s="47"/>
      <c r="B62" s="47"/>
      <c r="C62" s="43"/>
      <c r="D62" s="47"/>
      <c r="F62" s="47" t="s">
        <v>299</v>
      </c>
      <c r="G62" s="151"/>
      <c r="H62" s="151"/>
      <c r="I62" s="151"/>
      <c r="J62" s="151">
        <v>1517</v>
      </c>
      <c r="K62" s="151">
        <v>7208</v>
      </c>
      <c r="L62" s="151"/>
      <c r="M62" s="151">
        <v>2389</v>
      </c>
      <c r="R62" s="477"/>
    </row>
    <row r="63" spans="1:18" s="44" customFormat="1" ht="21" thickBot="1" x14ac:dyDescent="0.25">
      <c r="A63" s="47"/>
      <c r="B63" s="47"/>
      <c r="C63" s="47"/>
      <c r="D63" s="47"/>
      <c r="E63" s="47"/>
      <c r="F63" s="47" t="s">
        <v>356</v>
      </c>
      <c r="G63" s="151"/>
      <c r="H63" s="151"/>
      <c r="I63" s="151"/>
      <c r="J63" s="411">
        <f>J9/J62</f>
        <v>27.359485827290705</v>
      </c>
      <c r="K63" s="411">
        <f>K9/K62</f>
        <v>22.020116537180911</v>
      </c>
      <c r="L63" s="151"/>
      <c r="M63" s="411">
        <f>M9/M62</f>
        <v>32.932381749686066</v>
      </c>
      <c r="R63" s="477"/>
    </row>
  </sheetData>
  <mergeCells count="11">
    <mergeCell ref="J6:M6"/>
    <mergeCell ref="D35:F35"/>
    <mergeCell ref="D36:F36"/>
    <mergeCell ref="D37:F37"/>
    <mergeCell ref="D54:F54"/>
    <mergeCell ref="O8:P8"/>
    <mergeCell ref="D30:F30"/>
    <mergeCell ref="D31:F31"/>
    <mergeCell ref="D32:F32"/>
    <mergeCell ref="D34:F34"/>
    <mergeCell ref="C20:F20"/>
  </mergeCells>
  <pageMargins left="0.2" right="0" top="0.5" bottom="0.5" header="0.3" footer="0.3"/>
  <pageSetup scale="5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88"/>
  <sheetViews>
    <sheetView topLeftCell="A55" zoomScale="80" zoomScaleNormal="80" workbookViewId="0">
      <selection activeCell="G79" sqref="G78:G79"/>
    </sheetView>
  </sheetViews>
  <sheetFormatPr defaultRowHeight="14.25" x14ac:dyDescent="0.2"/>
  <cols>
    <col min="1" max="1" width="2.875" style="34" customWidth="1"/>
    <col min="2" max="2" width="8.125" style="34" customWidth="1"/>
    <col min="3" max="3" width="8.75" style="34" customWidth="1"/>
    <col min="4" max="4" width="5.75" style="34" customWidth="1"/>
    <col min="5" max="5" width="2.875" style="34" customWidth="1"/>
    <col min="6" max="6" width="47.125" style="34" customWidth="1"/>
    <col min="7" max="7" width="22.375" customWidth="1"/>
    <col min="8" max="8" width="1.75" customWidth="1"/>
    <col min="9" max="9" width="22.25" customWidth="1"/>
    <col min="10" max="10" width="10" bestFit="1" customWidth="1"/>
    <col min="11" max="11" width="9" style="213"/>
    <col min="12" max="12" width="11.5" style="124" bestFit="1" customWidth="1"/>
    <col min="13" max="13" width="9" style="213"/>
    <col min="246" max="246" width="2.875" customWidth="1"/>
    <col min="247" max="247" width="8.125" customWidth="1"/>
    <col min="248" max="248" width="8.75" customWidth="1"/>
    <col min="249" max="249" width="11" customWidth="1"/>
    <col min="250" max="250" width="2.875" customWidth="1"/>
    <col min="251" max="251" width="77.625" customWidth="1"/>
    <col min="252" max="252" width="20.875" customWidth="1"/>
    <col min="502" max="502" width="2.875" customWidth="1"/>
    <col min="503" max="503" width="8.125" customWidth="1"/>
    <col min="504" max="504" width="8.75" customWidth="1"/>
    <col min="505" max="505" width="11" customWidth="1"/>
    <col min="506" max="506" width="2.875" customWidth="1"/>
    <col min="507" max="507" width="77.625" customWidth="1"/>
    <col min="508" max="508" width="20.875" customWidth="1"/>
    <col min="758" max="758" width="2.875" customWidth="1"/>
    <col min="759" max="759" width="8.125" customWidth="1"/>
    <col min="760" max="760" width="8.75" customWidth="1"/>
    <col min="761" max="761" width="11" customWidth="1"/>
    <col min="762" max="762" width="2.875" customWidth="1"/>
    <col min="763" max="763" width="77.625" customWidth="1"/>
    <col min="764" max="764" width="20.875" customWidth="1"/>
    <col min="1014" max="1014" width="2.875" customWidth="1"/>
    <col min="1015" max="1015" width="8.125" customWidth="1"/>
    <col min="1016" max="1016" width="8.75" customWidth="1"/>
    <col min="1017" max="1017" width="11" customWidth="1"/>
    <col min="1018" max="1018" width="2.875" customWidth="1"/>
    <col min="1019" max="1019" width="77.625" customWidth="1"/>
    <col min="1020" max="1020" width="20.875" customWidth="1"/>
    <col min="1270" max="1270" width="2.875" customWidth="1"/>
    <col min="1271" max="1271" width="8.125" customWidth="1"/>
    <col min="1272" max="1272" width="8.75" customWidth="1"/>
    <col min="1273" max="1273" width="11" customWidth="1"/>
    <col min="1274" max="1274" width="2.875" customWidth="1"/>
    <col min="1275" max="1275" width="77.625" customWidth="1"/>
    <col min="1276" max="1276" width="20.875" customWidth="1"/>
    <col min="1526" max="1526" width="2.875" customWidth="1"/>
    <col min="1527" max="1527" width="8.125" customWidth="1"/>
    <col min="1528" max="1528" width="8.75" customWidth="1"/>
    <col min="1529" max="1529" width="11" customWidth="1"/>
    <col min="1530" max="1530" width="2.875" customWidth="1"/>
    <col min="1531" max="1531" width="77.625" customWidth="1"/>
    <col min="1532" max="1532" width="20.875" customWidth="1"/>
    <col min="1782" max="1782" width="2.875" customWidth="1"/>
    <col min="1783" max="1783" width="8.125" customWidth="1"/>
    <col min="1784" max="1784" width="8.75" customWidth="1"/>
    <col min="1785" max="1785" width="11" customWidth="1"/>
    <col min="1786" max="1786" width="2.875" customWidth="1"/>
    <col min="1787" max="1787" width="77.625" customWidth="1"/>
    <col min="1788" max="1788" width="20.875" customWidth="1"/>
    <col min="2038" max="2038" width="2.875" customWidth="1"/>
    <col min="2039" max="2039" width="8.125" customWidth="1"/>
    <col min="2040" max="2040" width="8.75" customWidth="1"/>
    <col min="2041" max="2041" width="11" customWidth="1"/>
    <col min="2042" max="2042" width="2.875" customWidth="1"/>
    <col min="2043" max="2043" width="77.625" customWidth="1"/>
    <col min="2044" max="2044" width="20.875" customWidth="1"/>
    <col min="2294" max="2294" width="2.875" customWidth="1"/>
    <col min="2295" max="2295" width="8.125" customWidth="1"/>
    <col min="2296" max="2296" width="8.75" customWidth="1"/>
    <col min="2297" max="2297" width="11" customWidth="1"/>
    <col min="2298" max="2298" width="2.875" customWidth="1"/>
    <col min="2299" max="2299" width="77.625" customWidth="1"/>
    <col min="2300" max="2300" width="20.875" customWidth="1"/>
    <col min="2550" max="2550" width="2.875" customWidth="1"/>
    <col min="2551" max="2551" width="8.125" customWidth="1"/>
    <col min="2552" max="2552" width="8.75" customWidth="1"/>
    <col min="2553" max="2553" width="11" customWidth="1"/>
    <col min="2554" max="2554" width="2.875" customWidth="1"/>
    <col min="2555" max="2555" width="77.625" customWidth="1"/>
    <col min="2556" max="2556" width="20.875" customWidth="1"/>
    <col min="2806" max="2806" width="2.875" customWidth="1"/>
    <col min="2807" max="2807" width="8.125" customWidth="1"/>
    <col min="2808" max="2808" width="8.75" customWidth="1"/>
    <col min="2809" max="2809" width="11" customWidth="1"/>
    <col min="2810" max="2810" width="2.875" customWidth="1"/>
    <col min="2811" max="2811" width="77.625" customWidth="1"/>
    <col min="2812" max="2812" width="20.875" customWidth="1"/>
    <col min="3062" max="3062" width="2.875" customWidth="1"/>
    <col min="3063" max="3063" width="8.125" customWidth="1"/>
    <col min="3064" max="3064" width="8.75" customWidth="1"/>
    <col min="3065" max="3065" width="11" customWidth="1"/>
    <col min="3066" max="3066" width="2.875" customWidth="1"/>
    <col min="3067" max="3067" width="77.625" customWidth="1"/>
    <col min="3068" max="3068" width="20.875" customWidth="1"/>
    <col min="3318" max="3318" width="2.875" customWidth="1"/>
    <col min="3319" max="3319" width="8.125" customWidth="1"/>
    <col min="3320" max="3320" width="8.75" customWidth="1"/>
    <col min="3321" max="3321" width="11" customWidth="1"/>
    <col min="3322" max="3322" width="2.875" customWidth="1"/>
    <col min="3323" max="3323" width="77.625" customWidth="1"/>
    <col min="3324" max="3324" width="20.875" customWidth="1"/>
    <col min="3574" max="3574" width="2.875" customWidth="1"/>
    <col min="3575" max="3575" width="8.125" customWidth="1"/>
    <col min="3576" max="3576" width="8.75" customWidth="1"/>
    <col min="3577" max="3577" width="11" customWidth="1"/>
    <col min="3578" max="3578" width="2.875" customWidth="1"/>
    <col min="3579" max="3579" width="77.625" customWidth="1"/>
    <col min="3580" max="3580" width="20.875" customWidth="1"/>
    <col min="3830" max="3830" width="2.875" customWidth="1"/>
    <col min="3831" max="3831" width="8.125" customWidth="1"/>
    <col min="3832" max="3832" width="8.75" customWidth="1"/>
    <col min="3833" max="3833" width="11" customWidth="1"/>
    <col min="3834" max="3834" width="2.875" customWidth="1"/>
    <col min="3835" max="3835" width="77.625" customWidth="1"/>
    <col min="3836" max="3836" width="20.875" customWidth="1"/>
    <col min="4086" max="4086" width="2.875" customWidth="1"/>
    <col min="4087" max="4087" width="8.125" customWidth="1"/>
    <col min="4088" max="4088" width="8.75" customWidth="1"/>
    <col min="4089" max="4089" width="11" customWidth="1"/>
    <col min="4090" max="4090" width="2.875" customWidth="1"/>
    <col min="4091" max="4091" width="77.625" customWidth="1"/>
    <col min="4092" max="4092" width="20.875" customWidth="1"/>
    <col min="4342" max="4342" width="2.875" customWidth="1"/>
    <col min="4343" max="4343" width="8.125" customWidth="1"/>
    <col min="4344" max="4344" width="8.75" customWidth="1"/>
    <col min="4345" max="4345" width="11" customWidth="1"/>
    <col min="4346" max="4346" width="2.875" customWidth="1"/>
    <col min="4347" max="4347" width="77.625" customWidth="1"/>
    <col min="4348" max="4348" width="20.875" customWidth="1"/>
    <col min="4598" max="4598" width="2.875" customWidth="1"/>
    <col min="4599" max="4599" width="8.125" customWidth="1"/>
    <col min="4600" max="4600" width="8.75" customWidth="1"/>
    <col min="4601" max="4601" width="11" customWidth="1"/>
    <col min="4602" max="4602" width="2.875" customWidth="1"/>
    <col min="4603" max="4603" width="77.625" customWidth="1"/>
    <col min="4604" max="4604" width="20.875" customWidth="1"/>
    <col min="4854" max="4854" width="2.875" customWidth="1"/>
    <col min="4855" max="4855" width="8.125" customWidth="1"/>
    <col min="4856" max="4856" width="8.75" customWidth="1"/>
    <col min="4857" max="4857" width="11" customWidth="1"/>
    <col min="4858" max="4858" width="2.875" customWidth="1"/>
    <col min="4859" max="4859" width="77.625" customWidth="1"/>
    <col min="4860" max="4860" width="20.875" customWidth="1"/>
    <col min="5110" max="5110" width="2.875" customWidth="1"/>
    <col min="5111" max="5111" width="8.125" customWidth="1"/>
    <col min="5112" max="5112" width="8.75" customWidth="1"/>
    <col min="5113" max="5113" width="11" customWidth="1"/>
    <col min="5114" max="5114" width="2.875" customWidth="1"/>
    <col min="5115" max="5115" width="77.625" customWidth="1"/>
    <col min="5116" max="5116" width="20.875" customWidth="1"/>
    <col min="5366" max="5366" width="2.875" customWidth="1"/>
    <col min="5367" max="5367" width="8.125" customWidth="1"/>
    <col min="5368" max="5368" width="8.75" customWidth="1"/>
    <col min="5369" max="5369" width="11" customWidth="1"/>
    <col min="5370" max="5370" width="2.875" customWidth="1"/>
    <col min="5371" max="5371" width="77.625" customWidth="1"/>
    <col min="5372" max="5372" width="20.875" customWidth="1"/>
    <col min="5622" max="5622" width="2.875" customWidth="1"/>
    <col min="5623" max="5623" width="8.125" customWidth="1"/>
    <col min="5624" max="5624" width="8.75" customWidth="1"/>
    <col min="5625" max="5625" width="11" customWidth="1"/>
    <col min="5626" max="5626" width="2.875" customWidth="1"/>
    <col min="5627" max="5627" width="77.625" customWidth="1"/>
    <col min="5628" max="5628" width="20.875" customWidth="1"/>
    <col min="5878" max="5878" width="2.875" customWidth="1"/>
    <col min="5879" max="5879" width="8.125" customWidth="1"/>
    <col min="5880" max="5880" width="8.75" customWidth="1"/>
    <col min="5881" max="5881" width="11" customWidth="1"/>
    <col min="5882" max="5882" width="2.875" customWidth="1"/>
    <col min="5883" max="5883" width="77.625" customWidth="1"/>
    <col min="5884" max="5884" width="20.875" customWidth="1"/>
    <col min="6134" max="6134" width="2.875" customWidth="1"/>
    <col min="6135" max="6135" width="8.125" customWidth="1"/>
    <col min="6136" max="6136" width="8.75" customWidth="1"/>
    <col min="6137" max="6137" width="11" customWidth="1"/>
    <col min="6138" max="6138" width="2.875" customWidth="1"/>
    <col min="6139" max="6139" width="77.625" customWidth="1"/>
    <col min="6140" max="6140" width="20.875" customWidth="1"/>
    <col min="6390" max="6390" width="2.875" customWidth="1"/>
    <col min="6391" max="6391" width="8.125" customWidth="1"/>
    <col min="6392" max="6392" width="8.75" customWidth="1"/>
    <col min="6393" max="6393" width="11" customWidth="1"/>
    <col min="6394" max="6394" width="2.875" customWidth="1"/>
    <col min="6395" max="6395" width="77.625" customWidth="1"/>
    <col min="6396" max="6396" width="20.875" customWidth="1"/>
    <col min="6646" max="6646" width="2.875" customWidth="1"/>
    <col min="6647" max="6647" width="8.125" customWidth="1"/>
    <col min="6648" max="6648" width="8.75" customWidth="1"/>
    <col min="6649" max="6649" width="11" customWidth="1"/>
    <col min="6650" max="6650" width="2.875" customWidth="1"/>
    <col min="6651" max="6651" width="77.625" customWidth="1"/>
    <col min="6652" max="6652" width="20.875" customWidth="1"/>
    <col min="6902" max="6902" width="2.875" customWidth="1"/>
    <col min="6903" max="6903" width="8.125" customWidth="1"/>
    <col min="6904" max="6904" width="8.75" customWidth="1"/>
    <col min="6905" max="6905" width="11" customWidth="1"/>
    <col min="6906" max="6906" width="2.875" customWidth="1"/>
    <col min="6907" max="6907" width="77.625" customWidth="1"/>
    <col min="6908" max="6908" width="20.875" customWidth="1"/>
    <col min="7158" max="7158" width="2.875" customWidth="1"/>
    <col min="7159" max="7159" width="8.125" customWidth="1"/>
    <col min="7160" max="7160" width="8.75" customWidth="1"/>
    <col min="7161" max="7161" width="11" customWidth="1"/>
    <col min="7162" max="7162" width="2.875" customWidth="1"/>
    <col min="7163" max="7163" width="77.625" customWidth="1"/>
    <col min="7164" max="7164" width="20.875" customWidth="1"/>
    <col min="7414" max="7414" width="2.875" customWidth="1"/>
    <col min="7415" max="7415" width="8.125" customWidth="1"/>
    <col min="7416" max="7416" width="8.75" customWidth="1"/>
    <col min="7417" max="7417" width="11" customWidth="1"/>
    <col min="7418" max="7418" width="2.875" customWidth="1"/>
    <col min="7419" max="7419" width="77.625" customWidth="1"/>
    <col min="7420" max="7420" width="20.875" customWidth="1"/>
    <col min="7670" max="7670" width="2.875" customWidth="1"/>
    <col min="7671" max="7671" width="8.125" customWidth="1"/>
    <col min="7672" max="7672" width="8.75" customWidth="1"/>
    <col min="7673" max="7673" width="11" customWidth="1"/>
    <col min="7674" max="7674" width="2.875" customWidth="1"/>
    <col min="7675" max="7675" width="77.625" customWidth="1"/>
    <col min="7676" max="7676" width="20.875" customWidth="1"/>
    <col min="7926" max="7926" width="2.875" customWidth="1"/>
    <col min="7927" max="7927" width="8.125" customWidth="1"/>
    <col min="7928" max="7928" width="8.75" customWidth="1"/>
    <col min="7929" max="7929" width="11" customWidth="1"/>
    <col min="7930" max="7930" width="2.875" customWidth="1"/>
    <col min="7931" max="7931" width="77.625" customWidth="1"/>
    <col min="7932" max="7932" width="20.875" customWidth="1"/>
    <col min="8182" max="8182" width="2.875" customWidth="1"/>
    <col min="8183" max="8183" width="8.125" customWidth="1"/>
    <col min="8184" max="8184" width="8.75" customWidth="1"/>
    <col min="8185" max="8185" width="11" customWidth="1"/>
    <col min="8186" max="8186" width="2.875" customWidth="1"/>
    <col min="8187" max="8187" width="77.625" customWidth="1"/>
    <col min="8188" max="8188" width="20.875" customWidth="1"/>
    <col min="8438" max="8438" width="2.875" customWidth="1"/>
    <col min="8439" max="8439" width="8.125" customWidth="1"/>
    <col min="8440" max="8440" width="8.75" customWidth="1"/>
    <col min="8441" max="8441" width="11" customWidth="1"/>
    <col min="8442" max="8442" width="2.875" customWidth="1"/>
    <col min="8443" max="8443" width="77.625" customWidth="1"/>
    <col min="8444" max="8444" width="20.875" customWidth="1"/>
    <col min="8694" max="8694" width="2.875" customWidth="1"/>
    <col min="8695" max="8695" width="8.125" customWidth="1"/>
    <col min="8696" max="8696" width="8.75" customWidth="1"/>
    <col min="8697" max="8697" width="11" customWidth="1"/>
    <col min="8698" max="8698" width="2.875" customWidth="1"/>
    <col min="8699" max="8699" width="77.625" customWidth="1"/>
    <col min="8700" max="8700" width="20.875" customWidth="1"/>
    <col min="8950" max="8950" width="2.875" customWidth="1"/>
    <col min="8951" max="8951" width="8.125" customWidth="1"/>
    <col min="8952" max="8952" width="8.75" customWidth="1"/>
    <col min="8953" max="8953" width="11" customWidth="1"/>
    <col min="8954" max="8954" width="2.875" customWidth="1"/>
    <col min="8955" max="8955" width="77.625" customWidth="1"/>
    <col min="8956" max="8956" width="20.875" customWidth="1"/>
    <col min="9206" max="9206" width="2.875" customWidth="1"/>
    <col min="9207" max="9207" width="8.125" customWidth="1"/>
    <col min="9208" max="9208" width="8.75" customWidth="1"/>
    <col min="9209" max="9209" width="11" customWidth="1"/>
    <col min="9210" max="9210" width="2.875" customWidth="1"/>
    <col min="9211" max="9211" width="77.625" customWidth="1"/>
    <col min="9212" max="9212" width="20.875" customWidth="1"/>
    <col min="9462" max="9462" width="2.875" customWidth="1"/>
    <col min="9463" max="9463" width="8.125" customWidth="1"/>
    <col min="9464" max="9464" width="8.75" customWidth="1"/>
    <col min="9465" max="9465" width="11" customWidth="1"/>
    <col min="9466" max="9466" width="2.875" customWidth="1"/>
    <col min="9467" max="9467" width="77.625" customWidth="1"/>
    <col min="9468" max="9468" width="20.875" customWidth="1"/>
    <col min="9718" max="9718" width="2.875" customWidth="1"/>
    <col min="9719" max="9719" width="8.125" customWidth="1"/>
    <col min="9720" max="9720" width="8.75" customWidth="1"/>
    <col min="9721" max="9721" width="11" customWidth="1"/>
    <col min="9722" max="9722" width="2.875" customWidth="1"/>
    <col min="9723" max="9723" width="77.625" customWidth="1"/>
    <col min="9724" max="9724" width="20.875" customWidth="1"/>
    <col min="9974" max="9974" width="2.875" customWidth="1"/>
    <col min="9975" max="9975" width="8.125" customWidth="1"/>
    <col min="9976" max="9976" width="8.75" customWidth="1"/>
    <col min="9977" max="9977" width="11" customWidth="1"/>
    <col min="9978" max="9978" width="2.875" customWidth="1"/>
    <col min="9979" max="9979" width="77.625" customWidth="1"/>
    <col min="9980" max="9980" width="20.875" customWidth="1"/>
    <col min="10230" max="10230" width="2.875" customWidth="1"/>
    <col min="10231" max="10231" width="8.125" customWidth="1"/>
    <col min="10232" max="10232" width="8.75" customWidth="1"/>
    <col min="10233" max="10233" width="11" customWidth="1"/>
    <col min="10234" max="10234" width="2.875" customWidth="1"/>
    <col min="10235" max="10235" width="77.625" customWidth="1"/>
    <col min="10236" max="10236" width="20.875" customWidth="1"/>
    <col min="10486" max="10486" width="2.875" customWidth="1"/>
    <col min="10487" max="10487" width="8.125" customWidth="1"/>
    <col min="10488" max="10488" width="8.75" customWidth="1"/>
    <col min="10489" max="10489" width="11" customWidth="1"/>
    <col min="10490" max="10490" width="2.875" customWidth="1"/>
    <col min="10491" max="10491" width="77.625" customWidth="1"/>
    <col min="10492" max="10492" width="20.875" customWidth="1"/>
    <col min="10742" max="10742" width="2.875" customWidth="1"/>
    <col min="10743" max="10743" width="8.125" customWidth="1"/>
    <col min="10744" max="10744" width="8.75" customWidth="1"/>
    <col min="10745" max="10745" width="11" customWidth="1"/>
    <col min="10746" max="10746" width="2.875" customWidth="1"/>
    <col min="10747" max="10747" width="77.625" customWidth="1"/>
    <col min="10748" max="10748" width="20.875" customWidth="1"/>
    <col min="10998" max="10998" width="2.875" customWidth="1"/>
    <col min="10999" max="10999" width="8.125" customWidth="1"/>
    <col min="11000" max="11000" width="8.75" customWidth="1"/>
    <col min="11001" max="11001" width="11" customWidth="1"/>
    <col min="11002" max="11002" width="2.875" customWidth="1"/>
    <col min="11003" max="11003" width="77.625" customWidth="1"/>
    <col min="11004" max="11004" width="20.875" customWidth="1"/>
    <col min="11254" max="11254" width="2.875" customWidth="1"/>
    <col min="11255" max="11255" width="8.125" customWidth="1"/>
    <col min="11256" max="11256" width="8.75" customWidth="1"/>
    <col min="11257" max="11257" width="11" customWidth="1"/>
    <col min="11258" max="11258" width="2.875" customWidth="1"/>
    <col min="11259" max="11259" width="77.625" customWidth="1"/>
    <col min="11260" max="11260" width="20.875" customWidth="1"/>
    <col min="11510" max="11510" width="2.875" customWidth="1"/>
    <col min="11511" max="11511" width="8.125" customWidth="1"/>
    <col min="11512" max="11512" width="8.75" customWidth="1"/>
    <col min="11513" max="11513" width="11" customWidth="1"/>
    <col min="11514" max="11514" width="2.875" customWidth="1"/>
    <col min="11515" max="11515" width="77.625" customWidth="1"/>
    <col min="11516" max="11516" width="20.875" customWidth="1"/>
    <col min="11766" max="11766" width="2.875" customWidth="1"/>
    <col min="11767" max="11767" width="8.125" customWidth="1"/>
    <col min="11768" max="11768" width="8.75" customWidth="1"/>
    <col min="11769" max="11769" width="11" customWidth="1"/>
    <col min="11770" max="11770" width="2.875" customWidth="1"/>
    <col min="11771" max="11771" width="77.625" customWidth="1"/>
    <col min="11772" max="11772" width="20.875" customWidth="1"/>
    <col min="12022" max="12022" width="2.875" customWidth="1"/>
    <col min="12023" max="12023" width="8.125" customWidth="1"/>
    <col min="12024" max="12024" width="8.75" customWidth="1"/>
    <col min="12025" max="12025" width="11" customWidth="1"/>
    <col min="12026" max="12026" width="2.875" customWidth="1"/>
    <col min="12027" max="12027" width="77.625" customWidth="1"/>
    <col min="12028" max="12028" width="20.875" customWidth="1"/>
    <col min="12278" max="12278" width="2.875" customWidth="1"/>
    <col min="12279" max="12279" width="8.125" customWidth="1"/>
    <col min="12280" max="12280" width="8.75" customWidth="1"/>
    <col min="12281" max="12281" width="11" customWidth="1"/>
    <col min="12282" max="12282" width="2.875" customWidth="1"/>
    <col min="12283" max="12283" width="77.625" customWidth="1"/>
    <col min="12284" max="12284" width="20.875" customWidth="1"/>
    <col min="12534" max="12534" width="2.875" customWidth="1"/>
    <col min="12535" max="12535" width="8.125" customWidth="1"/>
    <col min="12536" max="12536" width="8.75" customWidth="1"/>
    <col min="12537" max="12537" width="11" customWidth="1"/>
    <col min="12538" max="12538" width="2.875" customWidth="1"/>
    <col min="12539" max="12539" width="77.625" customWidth="1"/>
    <col min="12540" max="12540" width="20.875" customWidth="1"/>
    <col min="12790" max="12790" width="2.875" customWidth="1"/>
    <col min="12791" max="12791" width="8.125" customWidth="1"/>
    <col min="12792" max="12792" width="8.75" customWidth="1"/>
    <col min="12793" max="12793" width="11" customWidth="1"/>
    <col min="12794" max="12794" width="2.875" customWidth="1"/>
    <col min="12795" max="12795" width="77.625" customWidth="1"/>
    <col min="12796" max="12796" width="20.875" customWidth="1"/>
    <col min="13046" max="13046" width="2.875" customWidth="1"/>
    <col min="13047" max="13047" width="8.125" customWidth="1"/>
    <col min="13048" max="13048" width="8.75" customWidth="1"/>
    <col min="13049" max="13049" width="11" customWidth="1"/>
    <col min="13050" max="13050" width="2.875" customWidth="1"/>
    <col min="13051" max="13051" width="77.625" customWidth="1"/>
    <col min="13052" max="13052" width="20.875" customWidth="1"/>
    <col min="13302" max="13302" width="2.875" customWidth="1"/>
    <col min="13303" max="13303" width="8.125" customWidth="1"/>
    <col min="13304" max="13304" width="8.75" customWidth="1"/>
    <col min="13305" max="13305" width="11" customWidth="1"/>
    <col min="13306" max="13306" width="2.875" customWidth="1"/>
    <col min="13307" max="13307" width="77.625" customWidth="1"/>
    <col min="13308" max="13308" width="20.875" customWidth="1"/>
    <col min="13558" max="13558" width="2.875" customWidth="1"/>
    <col min="13559" max="13559" width="8.125" customWidth="1"/>
    <col min="13560" max="13560" width="8.75" customWidth="1"/>
    <col min="13561" max="13561" width="11" customWidth="1"/>
    <col min="13562" max="13562" width="2.875" customWidth="1"/>
    <col min="13563" max="13563" width="77.625" customWidth="1"/>
    <col min="13564" max="13564" width="20.875" customWidth="1"/>
    <col min="13814" max="13814" width="2.875" customWidth="1"/>
    <col min="13815" max="13815" width="8.125" customWidth="1"/>
    <col min="13816" max="13816" width="8.75" customWidth="1"/>
    <col min="13817" max="13817" width="11" customWidth="1"/>
    <col min="13818" max="13818" width="2.875" customWidth="1"/>
    <col min="13819" max="13819" width="77.625" customWidth="1"/>
    <col min="13820" max="13820" width="20.875" customWidth="1"/>
    <col min="14070" max="14070" width="2.875" customWidth="1"/>
    <col min="14071" max="14071" width="8.125" customWidth="1"/>
    <col min="14072" max="14072" width="8.75" customWidth="1"/>
    <col min="14073" max="14073" width="11" customWidth="1"/>
    <col min="14074" max="14074" width="2.875" customWidth="1"/>
    <col min="14075" max="14075" width="77.625" customWidth="1"/>
    <col min="14076" max="14076" width="20.875" customWidth="1"/>
    <col min="14326" max="14326" width="2.875" customWidth="1"/>
    <col min="14327" max="14327" width="8.125" customWidth="1"/>
    <col min="14328" max="14328" width="8.75" customWidth="1"/>
    <col min="14329" max="14329" width="11" customWidth="1"/>
    <col min="14330" max="14330" width="2.875" customWidth="1"/>
    <col min="14331" max="14331" width="77.625" customWidth="1"/>
    <col min="14332" max="14332" width="20.875" customWidth="1"/>
    <col min="14582" max="14582" width="2.875" customWidth="1"/>
    <col min="14583" max="14583" width="8.125" customWidth="1"/>
    <col min="14584" max="14584" width="8.75" customWidth="1"/>
    <col min="14585" max="14585" width="11" customWidth="1"/>
    <col min="14586" max="14586" width="2.875" customWidth="1"/>
    <col min="14587" max="14587" width="77.625" customWidth="1"/>
    <col min="14588" max="14588" width="20.875" customWidth="1"/>
    <col min="14838" max="14838" width="2.875" customWidth="1"/>
    <col min="14839" max="14839" width="8.125" customWidth="1"/>
    <col min="14840" max="14840" width="8.75" customWidth="1"/>
    <col min="14841" max="14841" width="11" customWidth="1"/>
    <col min="14842" max="14842" width="2.875" customWidth="1"/>
    <col min="14843" max="14843" width="77.625" customWidth="1"/>
    <col min="14844" max="14844" width="20.875" customWidth="1"/>
    <col min="15094" max="15094" width="2.875" customWidth="1"/>
    <col min="15095" max="15095" width="8.125" customWidth="1"/>
    <col min="15096" max="15096" width="8.75" customWidth="1"/>
    <col min="15097" max="15097" width="11" customWidth="1"/>
    <col min="15098" max="15098" width="2.875" customWidth="1"/>
    <col min="15099" max="15099" width="77.625" customWidth="1"/>
    <col min="15100" max="15100" width="20.875" customWidth="1"/>
    <col min="15350" max="15350" width="2.875" customWidth="1"/>
    <col min="15351" max="15351" width="8.125" customWidth="1"/>
    <col min="15352" max="15352" width="8.75" customWidth="1"/>
    <col min="15353" max="15353" width="11" customWidth="1"/>
    <col min="15354" max="15354" width="2.875" customWidth="1"/>
    <col min="15355" max="15355" width="77.625" customWidth="1"/>
    <col min="15356" max="15356" width="20.875" customWidth="1"/>
    <col min="15606" max="15606" width="2.875" customWidth="1"/>
    <col min="15607" max="15607" width="8.125" customWidth="1"/>
    <col min="15608" max="15608" width="8.75" customWidth="1"/>
    <col min="15609" max="15609" width="11" customWidth="1"/>
    <col min="15610" max="15610" width="2.875" customWidth="1"/>
    <col min="15611" max="15611" width="77.625" customWidth="1"/>
    <col min="15612" max="15612" width="20.875" customWidth="1"/>
    <col min="15862" max="15862" width="2.875" customWidth="1"/>
    <col min="15863" max="15863" width="8.125" customWidth="1"/>
    <col min="15864" max="15864" width="8.75" customWidth="1"/>
    <col min="15865" max="15865" width="11" customWidth="1"/>
    <col min="15866" max="15866" width="2.875" customWidth="1"/>
    <col min="15867" max="15867" width="77.625" customWidth="1"/>
    <col min="15868" max="15868" width="20.875" customWidth="1"/>
    <col min="16118" max="16118" width="2.875" customWidth="1"/>
    <col min="16119" max="16119" width="8.125" customWidth="1"/>
    <col min="16120" max="16120" width="8.75" customWidth="1"/>
    <col min="16121" max="16121" width="11" customWidth="1"/>
    <col min="16122" max="16122" width="2.875" customWidth="1"/>
    <col min="16123" max="16123" width="77.625" customWidth="1"/>
    <col min="16124" max="16124" width="20.875" customWidth="1"/>
  </cols>
  <sheetData>
    <row r="1" spans="1:9" ht="22.5" customHeight="1" x14ac:dyDescent="0.4">
      <c r="A1" s="35" t="s">
        <v>90</v>
      </c>
      <c r="B1" s="36"/>
      <c r="C1" s="37"/>
      <c r="D1" s="37"/>
      <c r="E1" s="37"/>
      <c r="F1" s="36"/>
      <c r="G1" s="36"/>
      <c r="H1" s="36"/>
      <c r="I1" s="36"/>
    </row>
    <row r="2" spans="1:9" ht="22.5" customHeight="1" x14ac:dyDescent="0.4">
      <c r="A2" s="35" t="s">
        <v>443</v>
      </c>
      <c r="B2" s="36"/>
      <c r="C2" s="37"/>
      <c r="D2" s="37"/>
      <c r="E2" s="37"/>
      <c r="F2" s="36"/>
      <c r="G2" s="36"/>
      <c r="H2" s="36"/>
      <c r="I2" s="36"/>
    </row>
    <row r="3" spans="1:9" ht="22.5" customHeight="1" x14ac:dyDescent="0.4">
      <c r="A3" s="35" t="s">
        <v>444</v>
      </c>
      <c r="B3" s="36"/>
      <c r="C3" s="37"/>
      <c r="D3" s="37"/>
      <c r="E3" s="37"/>
      <c r="F3" s="36"/>
      <c r="G3" s="36"/>
      <c r="H3" s="36"/>
      <c r="I3" s="36"/>
    </row>
    <row r="4" spans="1:9" s="39" customFormat="1" ht="8.25" customHeight="1" x14ac:dyDescent="0.2">
      <c r="A4" s="38"/>
      <c r="B4" s="38"/>
      <c r="C4" s="38"/>
      <c r="D4" s="38"/>
      <c r="E4" s="38"/>
      <c r="F4" s="38"/>
    </row>
    <row r="5" spans="1:9" s="44" customFormat="1" ht="8.25" customHeight="1" thickBot="1" x14ac:dyDescent="0.25">
      <c r="A5" s="43"/>
      <c r="B5" s="43"/>
      <c r="C5" s="43"/>
      <c r="D5" s="43"/>
      <c r="E5" s="43"/>
      <c r="F5" s="43"/>
    </row>
    <row r="6" spans="1:9" s="44" customFormat="1" ht="48" customHeight="1" thickBot="1" x14ac:dyDescent="0.25">
      <c r="A6" s="43"/>
      <c r="B6" s="523" t="s">
        <v>96</v>
      </c>
      <c r="C6" s="523"/>
      <c r="D6" s="523"/>
      <c r="E6" s="523"/>
      <c r="F6" s="523"/>
      <c r="G6" s="524" t="s">
        <v>445</v>
      </c>
      <c r="H6" s="524"/>
      <c r="I6" s="524" t="s">
        <v>446</v>
      </c>
    </row>
    <row r="7" spans="1:9" s="44" customFormat="1" ht="20.25" x14ac:dyDescent="0.2">
      <c r="A7" s="43"/>
      <c r="B7" s="43"/>
      <c r="C7" s="47" t="s">
        <v>97</v>
      </c>
      <c r="D7" s="47"/>
      <c r="E7" s="47"/>
      <c r="F7" s="43"/>
      <c r="G7" s="160">
        <v>768013</v>
      </c>
      <c r="H7" s="160"/>
      <c r="I7" s="160">
        <v>795100</v>
      </c>
    </row>
    <row r="8" spans="1:9" s="44" customFormat="1" ht="20.25" x14ac:dyDescent="0.2">
      <c r="A8" s="43"/>
      <c r="B8" s="43"/>
      <c r="C8" s="47" t="s">
        <v>146</v>
      </c>
      <c r="D8" s="47"/>
      <c r="E8" s="47"/>
      <c r="F8" s="43"/>
      <c r="G8" s="151">
        <v>92000</v>
      </c>
      <c r="H8" s="151"/>
      <c r="I8" s="151">
        <v>88160</v>
      </c>
    </row>
    <row r="9" spans="1:9" s="44" customFormat="1" ht="20.25" x14ac:dyDescent="0.2">
      <c r="A9" s="43"/>
      <c r="B9" s="43"/>
      <c r="C9" s="47" t="s">
        <v>174</v>
      </c>
      <c r="D9" s="47"/>
      <c r="E9" s="47"/>
      <c r="F9" s="43"/>
      <c r="G9" s="151">
        <v>42167</v>
      </c>
      <c r="H9" s="151"/>
      <c r="I9" s="151">
        <v>32100</v>
      </c>
    </row>
    <row r="10" spans="1:9" s="44" customFormat="1" ht="20.25" x14ac:dyDescent="0.2">
      <c r="A10" s="43"/>
      <c r="B10" s="43"/>
      <c r="C10" s="47" t="s">
        <v>98</v>
      </c>
      <c r="D10" s="47"/>
      <c r="E10" s="47"/>
      <c r="F10" s="43"/>
      <c r="G10" s="151">
        <v>0</v>
      </c>
      <c r="H10" s="151"/>
      <c r="I10" s="151"/>
    </row>
    <row r="11" spans="1:9" s="44" customFormat="1" ht="20.25" x14ac:dyDescent="0.2">
      <c r="A11" s="43"/>
      <c r="B11" s="43"/>
      <c r="D11" s="47" t="s">
        <v>135</v>
      </c>
      <c r="E11" s="47"/>
      <c r="F11" s="43"/>
      <c r="G11" s="151">
        <f>148159+47500+3687</f>
        <v>199346</v>
      </c>
      <c r="H11" s="151"/>
      <c r="I11" s="151">
        <v>204910</v>
      </c>
    </row>
    <row r="12" spans="1:9" s="44" customFormat="1" ht="20.25" x14ac:dyDescent="0.2">
      <c r="A12" s="43"/>
      <c r="B12" s="43"/>
      <c r="D12" s="47" t="s">
        <v>154</v>
      </c>
      <c r="E12" s="47"/>
      <c r="F12" s="43"/>
      <c r="G12" s="151">
        <v>18000</v>
      </c>
      <c r="H12" s="151"/>
      <c r="I12" s="151">
        <v>18000</v>
      </c>
    </row>
    <row r="13" spans="1:9" s="44" customFormat="1" ht="20.25" x14ac:dyDescent="0.2">
      <c r="A13" s="43"/>
      <c r="B13" s="43"/>
      <c r="C13" s="47"/>
      <c r="D13" s="47" t="s">
        <v>383</v>
      </c>
      <c r="E13" s="47"/>
      <c r="F13" s="43"/>
      <c r="G13" s="151">
        <v>30439</v>
      </c>
      <c r="H13" s="151"/>
      <c r="I13" s="151">
        <v>265600</v>
      </c>
    </row>
    <row r="14" spans="1:9" s="44" customFormat="1" ht="20.25" x14ac:dyDescent="0.2">
      <c r="A14" s="43"/>
      <c r="B14" s="43"/>
      <c r="C14" s="47" t="s">
        <v>359</v>
      </c>
      <c r="D14" s="47"/>
      <c r="E14" s="47"/>
      <c r="F14" s="43"/>
      <c r="G14" s="151">
        <v>20000</v>
      </c>
      <c r="H14" s="151"/>
      <c r="I14" s="151">
        <v>17600</v>
      </c>
    </row>
    <row r="15" spans="1:9" s="44" customFormat="1" ht="20.25" x14ac:dyDescent="0.2">
      <c r="A15" s="43"/>
      <c r="B15" s="43"/>
      <c r="C15" s="47" t="s">
        <v>106</v>
      </c>
      <c r="D15" s="47"/>
      <c r="E15" s="47"/>
      <c r="F15" s="43"/>
      <c r="G15" s="151">
        <v>684</v>
      </c>
      <c r="H15" s="151"/>
      <c r="I15" s="151">
        <v>420</v>
      </c>
    </row>
    <row r="16" spans="1:9" s="44" customFormat="1" ht="20.25" x14ac:dyDescent="0.2">
      <c r="A16" s="43"/>
      <c r="B16" s="43"/>
      <c r="C16" s="47" t="s">
        <v>230</v>
      </c>
      <c r="D16" s="47"/>
      <c r="E16" s="47"/>
      <c r="F16" s="43"/>
      <c r="G16" s="151">
        <v>1200</v>
      </c>
      <c r="H16" s="151"/>
      <c r="I16" s="151">
        <v>1000</v>
      </c>
    </row>
    <row r="17" spans="2:9" s="44" customFormat="1" ht="20.25" x14ac:dyDescent="0.2">
      <c r="B17" s="43"/>
      <c r="C17" s="532" t="s">
        <v>307</v>
      </c>
      <c r="D17" s="532"/>
      <c r="E17" s="532"/>
      <c r="F17" s="533"/>
      <c r="G17" s="151">
        <v>-3000</v>
      </c>
      <c r="H17" s="151"/>
      <c r="I17" s="522">
        <v>-48000</v>
      </c>
    </row>
    <row r="18" spans="2:9" s="44" customFormat="1" ht="20.25" x14ac:dyDescent="0.2">
      <c r="B18" s="43"/>
      <c r="C18" s="47" t="s">
        <v>395</v>
      </c>
      <c r="D18" s="47"/>
      <c r="E18" s="47"/>
      <c r="F18" s="43"/>
      <c r="G18" s="151">
        <v>282538</v>
      </c>
      <c r="H18" s="151"/>
      <c r="I18" s="151">
        <v>159000</v>
      </c>
    </row>
    <row r="19" spans="2:9" s="44" customFormat="1" ht="20.25" x14ac:dyDescent="0.2">
      <c r="B19" s="43"/>
      <c r="C19" s="47" t="s">
        <v>105</v>
      </c>
      <c r="D19" s="481"/>
      <c r="E19" s="481"/>
      <c r="F19" s="481"/>
      <c r="G19" s="151">
        <v>52740</v>
      </c>
      <c r="H19" s="151"/>
      <c r="I19" s="151">
        <v>52740</v>
      </c>
    </row>
    <row r="20" spans="2:9" s="44" customFormat="1" ht="20.25" x14ac:dyDescent="0.2">
      <c r="B20" s="43"/>
      <c r="C20" s="47" t="s">
        <v>398</v>
      </c>
      <c r="D20" s="481"/>
      <c r="E20" s="481"/>
      <c r="F20" s="481"/>
      <c r="G20" s="151">
        <v>10250</v>
      </c>
      <c r="H20" s="151"/>
      <c r="I20" s="151">
        <v>31710</v>
      </c>
    </row>
    <row r="21" spans="2:9" s="44" customFormat="1" ht="20.25" x14ac:dyDescent="0.2">
      <c r="B21" s="43"/>
      <c r="C21" s="47" t="s">
        <v>98</v>
      </c>
      <c r="D21" s="481"/>
      <c r="E21" s="481"/>
      <c r="F21" s="481"/>
      <c r="G21" s="151">
        <v>20000</v>
      </c>
      <c r="H21" s="151"/>
      <c r="I21" s="151">
        <v>20000</v>
      </c>
    </row>
    <row r="22" spans="2:9" s="44" customFormat="1" ht="20.25" x14ac:dyDescent="0.2">
      <c r="B22" s="43"/>
      <c r="C22" s="47" t="s">
        <v>306</v>
      </c>
      <c r="D22" s="481"/>
      <c r="E22" s="481"/>
      <c r="F22" s="481"/>
      <c r="G22" s="151">
        <v>52000</v>
      </c>
      <c r="H22" s="151"/>
      <c r="I22" s="151">
        <v>62400</v>
      </c>
    </row>
    <row r="23" spans="2:9" s="44" customFormat="1" ht="20.25" x14ac:dyDescent="0.2">
      <c r="B23" s="43"/>
      <c r="C23" s="47" t="s">
        <v>308</v>
      </c>
      <c r="D23" s="481"/>
      <c r="E23" s="481"/>
      <c r="F23" s="481"/>
      <c r="G23" s="151">
        <v>18537</v>
      </c>
      <c r="H23" s="151"/>
      <c r="I23" s="151">
        <v>18600</v>
      </c>
    </row>
    <row r="24" spans="2:9" s="44" customFormat="1" ht="20.25" x14ac:dyDescent="0.2">
      <c r="B24" s="43"/>
      <c r="C24" s="47"/>
      <c r="D24" s="43" t="s">
        <v>101</v>
      </c>
      <c r="E24" s="47"/>
      <c r="F24" s="43"/>
      <c r="G24" s="159">
        <f>SUM(G7:G23)</f>
        <v>1604914</v>
      </c>
      <c r="H24" s="159"/>
      <c r="I24" s="159">
        <f>SUM(I7:I23)</f>
        <v>1719340</v>
      </c>
    </row>
    <row r="25" spans="2:9" s="44" customFormat="1" ht="21" thickBot="1" x14ac:dyDescent="0.25">
      <c r="B25" s="43"/>
      <c r="C25" s="47"/>
      <c r="D25" s="43"/>
      <c r="E25" s="47"/>
      <c r="F25" s="43"/>
      <c r="G25" s="151"/>
      <c r="H25" s="151"/>
      <c r="I25" s="151"/>
    </row>
    <row r="26" spans="2:9" s="44" customFormat="1" ht="54.75" thickBot="1" x14ac:dyDescent="0.25">
      <c r="B26" s="523" t="s">
        <v>107</v>
      </c>
      <c r="C26" s="523"/>
      <c r="D26" s="523"/>
      <c r="E26" s="523"/>
      <c r="F26" s="523"/>
      <c r="G26" s="524" t="s">
        <v>445</v>
      </c>
      <c r="H26" s="524"/>
      <c r="I26" s="524" t="s">
        <v>446</v>
      </c>
    </row>
    <row r="27" spans="2:9" s="44" customFormat="1" ht="20.25" x14ac:dyDescent="0.2">
      <c r="B27" s="43"/>
      <c r="C27" s="47" t="s">
        <v>108</v>
      </c>
      <c r="D27" s="47"/>
      <c r="E27" s="47"/>
      <c r="F27" s="47"/>
      <c r="G27" s="151">
        <v>1121855</v>
      </c>
      <c r="H27" s="151"/>
      <c r="I27" s="151">
        <v>994800</v>
      </c>
    </row>
    <row r="28" spans="2:9" s="44" customFormat="1" ht="20.25" x14ac:dyDescent="0.2">
      <c r="B28" s="43"/>
      <c r="C28" s="47" t="s">
        <v>109</v>
      </c>
      <c r="D28" s="47"/>
      <c r="E28" s="47"/>
      <c r="F28" s="47"/>
      <c r="G28" s="151">
        <v>256895</v>
      </c>
      <c r="H28" s="151"/>
      <c r="I28" s="151">
        <f>199118+20000</f>
        <v>219118</v>
      </c>
    </row>
    <row r="29" spans="2:9" s="44" customFormat="1" ht="20.25" x14ac:dyDescent="0.2">
      <c r="B29" s="43"/>
      <c r="C29" s="47" t="s">
        <v>110</v>
      </c>
      <c r="D29" s="47"/>
      <c r="E29" s="47"/>
      <c r="F29" s="47"/>
      <c r="G29" s="151">
        <v>1800</v>
      </c>
      <c r="H29" s="151"/>
      <c r="I29" s="151">
        <v>1800</v>
      </c>
    </row>
    <row r="30" spans="2:9" s="44" customFormat="1" ht="20.25" x14ac:dyDescent="0.2">
      <c r="B30" s="43"/>
      <c r="C30" s="47" t="s">
        <v>100</v>
      </c>
      <c r="D30" s="47"/>
      <c r="E30" s="47"/>
      <c r="F30" s="47"/>
      <c r="G30" s="151">
        <v>52740</v>
      </c>
      <c r="H30" s="151"/>
      <c r="I30" s="151">
        <v>52740</v>
      </c>
    </row>
    <row r="31" spans="2:9" s="44" customFormat="1" ht="20.25" x14ac:dyDescent="0.2">
      <c r="B31" s="43"/>
      <c r="C31" s="47" t="s">
        <v>111</v>
      </c>
      <c r="D31" s="47"/>
      <c r="E31" s="47"/>
      <c r="F31" s="47"/>
      <c r="G31" s="151">
        <v>22940</v>
      </c>
      <c r="H31" s="151"/>
      <c r="I31" s="151">
        <v>21250</v>
      </c>
    </row>
    <row r="32" spans="2:9" s="44" customFormat="1" ht="20.25" x14ac:dyDescent="0.2">
      <c r="B32" s="43"/>
      <c r="C32" s="47" t="s">
        <v>112</v>
      </c>
      <c r="D32" s="47"/>
      <c r="E32" s="47"/>
      <c r="F32" s="47"/>
      <c r="G32" s="151">
        <v>2385</v>
      </c>
      <c r="H32" s="151"/>
      <c r="I32" s="151">
        <v>2520</v>
      </c>
    </row>
    <row r="33" spans="2:9" s="44" customFormat="1" ht="20.25" x14ac:dyDescent="0.2">
      <c r="B33" s="43"/>
      <c r="C33" s="47" t="s">
        <v>113</v>
      </c>
      <c r="D33" s="47"/>
      <c r="E33" s="47"/>
      <c r="F33" s="47"/>
      <c r="G33" s="151">
        <v>4620</v>
      </c>
      <c r="H33" s="151"/>
      <c r="I33" s="151">
        <v>3720</v>
      </c>
    </row>
    <row r="34" spans="2:9" s="44" customFormat="1" ht="20.25" x14ac:dyDescent="0.2">
      <c r="B34" s="43"/>
      <c r="C34" s="47" t="s">
        <v>114</v>
      </c>
      <c r="D34" s="47"/>
      <c r="E34" s="47"/>
      <c r="F34" s="47"/>
      <c r="G34" s="151">
        <v>13333</v>
      </c>
      <c r="H34" s="151"/>
      <c r="I34" s="151">
        <v>11230</v>
      </c>
    </row>
    <row r="35" spans="2:9" s="44" customFormat="1" ht="20.25" x14ac:dyDescent="0.2">
      <c r="B35" s="43"/>
      <c r="C35" s="47" t="s">
        <v>115</v>
      </c>
      <c r="D35" s="47"/>
      <c r="E35" s="47"/>
      <c r="F35" s="47"/>
      <c r="G35" s="151">
        <f>25674+15000</f>
        <v>40674</v>
      </c>
      <c r="H35" s="151"/>
      <c r="I35" s="151">
        <v>39910</v>
      </c>
    </row>
    <row r="36" spans="2:9" s="44" customFormat="1" ht="20.25" x14ac:dyDescent="0.2">
      <c r="B36" s="43"/>
      <c r="C36" s="47" t="s">
        <v>116</v>
      </c>
      <c r="D36" s="47"/>
      <c r="E36" s="47"/>
      <c r="F36" s="47"/>
      <c r="G36" s="151">
        <v>2918</v>
      </c>
      <c r="H36" s="151"/>
      <c r="I36" s="151">
        <v>3920</v>
      </c>
    </row>
    <row r="37" spans="2:9" s="44" customFormat="1" ht="20.25" x14ac:dyDescent="0.2">
      <c r="B37" s="43"/>
      <c r="C37" s="47" t="s">
        <v>117</v>
      </c>
      <c r="D37" s="47"/>
      <c r="E37" s="47"/>
      <c r="F37" s="47"/>
      <c r="G37" s="151">
        <v>1300</v>
      </c>
      <c r="H37" s="151"/>
      <c r="I37" s="151">
        <f>940+360</f>
        <v>1300</v>
      </c>
    </row>
    <row r="38" spans="2:9" s="44" customFormat="1" ht="20.25" x14ac:dyDescent="0.2">
      <c r="B38" s="43"/>
      <c r="C38" s="47" t="s">
        <v>161</v>
      </c>
      <c r="D38" s="47"/>
      <c r="E38" s="47"/>
      <c r="F38" s="47"/>
      <c r="G38" s="151">
        <v>15125</v>
      </c>
      <c r="H38" s="151"/>
      <c r="I38" s="151">
        <v>16375</v>
      </c>
    </row>
    <row r="39" spans="2:9" s="44" customFormat="1" ht="20.25" x14ac:dyDescent="0.2">
      <c r="B39" s="43"/>
      <c r="C39" s="792" t="s">
        <v>311</v>
      </c>
      <c r="D39" s="792"/>
      <c r="E39" s="792"/>
      <c r="F39" s="792"/>
      <c r="G39" s="151">
        <v>0</v>
      </c>
      <c r="H39" s="151"/>
      <c r="I39" s="151"/>
    </row>
    <row r="40" spans="2:9" s="44" customFormat="1" ht="20.25" x14ac:dyDescent="0.2">
      <c r="B40" s="43"/>
      <c r="C40" s="47" t="s">
        <v>118</v>
      </c>
      <c r="D40" s="47"/>
      <c r="E40" s="47"/>
      <c r="F40" s="47"/>
      <c r="G40" s="151">
        <v>23851</v>
      </c>
      <c r="H40" s="151"/>
      <c r="I40" s="151">
        <v>22610</v>
      </c>
    </row>
    <row r="41" spans="2:9" s="44" customFormat="1" ht="20.25" x14ac:dyDescent="0.2">
      <c r="B41" s="43"/>
      <c r="C41" s="47" t="s">
        <v>119</v>
      </c>
      <c r="D41" s="47"/>
      <c r="E41" s="47"/>
      <c r="F41" s="47"/>
      <c r="G41" s="151">
        <v>13155</v>
      </c>
      <c r="H41" s="151"/>
      <c r="I41" s="151">
        <v>12600</v>
      </c>
    </row>
    <row r="42" spans="2:9" s="44" customFormat="1" ht="20.25" x14ac:dyDescent="0.2">
      <c r="B42" s="43"/>
      <c r="C42" s="47" t="s">
        <v>126</v>
      </c>
      <c r="D42" s="47"/>
      <c r="E42" s="47"/>
      <c r="F42" s="47"/>
      <c r="G42" s="151">
        <v>1320</v>
      </c>
      <c r="H42" s="151"/>
      <c r="I42" s="151">
        <v>900</v>
      </c>
    </row>
    <row r="43" spans="2:9" s="44" customFormat="1" ht="20.25" x14ac:dyDescent="0.2">
      <c r="B43" s="43"/>
      <c r="C43" s="47" t="s">
        <v>120</v>
      </c>
      <c r="D43" s="47"/>
      <c r="E43" s="47"/>
      <c r="F43" s="47"/>
      <c r="G43" s="151">
        <f>1500+4750</f>
        <v>6250</v>
      </c>
      <c r="H43" s="151"/>
      <c r="I43" s="151">
        <v>6750</v>
      </c>
    </row>
    <row r="44" spans="2:9" s="44" customFormat="1" ht="20.25" customHeight="1" x14ac:dyDescent="0.2">
      <c r="B44" s="43"/>
      <c r="C44" s="47" t="s">
        <v>193</v>
      </c>
      <c r="D44" s="47"/>
      <c r="E44" s="47"/>
      <c r="F44" s="47"/>
      <c r="G44" s="151">
        <v>8812</v>
      </c>
      <c r="H44" s="151"/>
      <c r="I44" s="151">
        <v>8840</v>
      </c>
    </row>
    <row r="45" spans="2:9" s="44" customFormat="1" ht="20.25" x14ac:dyDescent="0.2">
      <c r="B45" s="47"/>
      <c r="C45" s="47" t="s">
        <v>122</v>
      </c>
      <c r="D45" s="47"/>
      <c r="E45" s="47"/>
      <c r="F45" s="47"/>
      <c r="G45" s="151">
        <v>13980</v>
      </c>
      <c r="H45" s="151"/>
      <c r="I45" s="151">
        <v>150220</v>
      </c>
    </row>
    <row r="46" spans="2:9" s="44" customFormat="1" ht="20.25" x14ac:dyDescent="0.2">
      <c r="B46" s="43"/>
      <c r="C46" s="47" t="s">
        <v>160</v>
      </c>
      <c r="D46" s="47"/>
      <c r="E46" s="47"/>
      <c r="F46" s="47"/>
      <c r="G46" s="151">
        <v>71775</v>
      </c>
      <c r="H46" s="151"/>
      <c r="I46" s="151">
        <v>75200</v>
      </c>
    </row>
    <row r="47" spans="2:9" s="44" customFormat="1" ht="20.25" x14ac:dyDescent="0.2">
      <c r="B47" s="43"/>
      <c r="C47" s="47" t="s">
        <v>123</v>
      </c>
      <c r="D47" s="47"/>
      <c r="E47" s="47"/>
      <c r="F47" s="47"/>
      <c r="G47" s="151">
        <f>3750+38808</f>
        <v>42558</v>
      </c>
      <c r="H47" s="151"/>
      <c r="I47" s="151">
        <v>79050</v>
      </c>
    </row>
    <row r="48" spans="2:9" s="44" customFormat="1" ht="20.25" x14ac:dyDescent="0.2">
      <c r="B48" s="47"/>
      <c r="D48" s="43" t="s">
        <v>124</v>
      </c>
      <c r="G48" s="151">
        <f>SUM(G27:G47)</f>
        <v>1718286</v>
      </c>
      <c r="H48" s="151"/>
      <c r="I48" s="151">
        <f>SUM(I27:I47)</f>
        <v>1724853</v>
      </c>
    </row>
    <row r="50" spans="2:9" s="44" customFormat="1" ht="20.25" x14ac:dyDescent="0.2">
      <c r="B50" s="47"/>
      <c r="C50" s="525" t="s">
        <v>399</v>
      </c>
      <c r="D50"/>
      <c r="E50" s="43"/>
      <c r="F50" s="43"/>
      <c r="G50" s="159">
        <f>G24-G48</f>
        <v>-113372</v>
      </c>
      <c r="H50" s="151"/>
      <c r="I50" s="159">
        <f>I24-I48</f>
        <v>-5513</v>
      </c>
    </row>
    <row r="51" spans="2:9" s="44" customFormat="1" ht="9" customHeight="1" x14ac:dyDescent="0.2">
      <c r="B51" s="47"/>
      <c r="C51" s="47"/>
      <c r="D51" s="47"/>
      <c r="E51" s="47"/>
      <c r="F51" s="47"/>
      <c r="G51" s="151"/>
      <c r="H51" s="151"/>
      <c r="I51" s="151"/>
    </row>
    <row r="52" spans="2:9" s="44" customFormat="1" ht="23.25" customHeight="1" x14ac:dyDescent="0.2">
      <c r="B52" s="47"/>
      <c r="C52" s="47" t="s">
        <v>437</v>
      </c>
      <c r="D52" s="47"/>
      <c r="F52" s="47"/>
      <c r="G52" s="151">
        <v>48285</v>
      </c>
      <c r="H52" s="151"/>
      <c r="I52" s="151">
        <v>39540</v>
      </c>
    </row>
    <row r="53" spans="2:9" s="44" customFormat="1" ht="20.25" x14ac:dyDescent="0.2">
      <c r="B53" s="47"/>
      <c r="C53" s="47" t="s">
        <v>30</v>
      </c>
      <c r="D53" s="47"/>
      <c r="F53" s="47"/>
      <c r="G53" s="151">
        <v>5933</v>
      </c>
      <c r="H53" s="151"/>
      <c r="I53" s="151">
        <v>465</v>
      </c>
    </row>
    <row r="54" spans="2:9" s="44" customFormat="1" ht="9" customHeight="1" thickBot="1" x14ac:dyDescent="0.25">
      <c r="B54" s="47"/>
      <c r="C54" s="47"/>
      <c r="D54" s="47"/>
      <c r="E54" s="47"/>
      <c r="F54" s="47"/>
      <c r="G54" s="151"/>
      <c r="H54" s="151"/>
      <c r="I54" s="151"/>
    </row>
    <row r="55" spans="2:9" s="44" customFormat="1" ht="21.75" thickTop="1" thickBot="1" x14ac:dyDescent="0.25">
      <c r="B55" s="43"/>
      <c r="C55" s="526" t="s">
        <v>400</v>
      </c>
      <c r="D55" s="527"/>
      <c r="E55" s="527"/>
      <c r="F55" s="527"/>
      <c r="G55" s="528">
        <f>G50-G53-G52</f>
        <v>-167590</v>
      </c>
      <c r="H55" s="528"/>
      <c r="I55" s="528">
        <f>I50-I53-I52</f>
        <v>-45518</v>
      </c>
    </row>
    <row r="56" spans="2:9" s="44" customFormat="1" ht="21" thickTop="1" x14ac:dyDescent="0.2">
      <c r="B56" s="43"/>
      <c r="C56" s="43"/>
      <c r="D56" s="43"/>
      <c r="E56" s="43"/>
      <c r="F56" s="43"/>
      <c r="G56" s="154"/>
      <c r="H56" s="154"/>
    </row>
    <row r="57" spans="2:9" ht="20.25" x14ac:dyDescent="0.3">
      <c r="B57" s="529" t="s">
        <v>447</v>
      </c>
      <c r="C57" s="530"/>
      <c r="F57" s="496"/>
      <c r="G57" s="184"/>
      <c r="H57" s="184"/>
      <c r="I57" s="530"/>
    </row>
    <row r="58" spans="2:9" ht="9.75" customHeight="1" x14ac:dyDescent="0.3">
      <c r="B58" s="529"/>
      <c r="C58" s="530"/>
      <c r="F58" s="496"/>
      <c r="G58" s="184"/>
      <c r="H58" s="184"/>
      <c r="I58" s="530"/>
    </row>
    <row r="59" spans="2:9" ht="20.25" x14ac:dyDescent="0.3">
      <c r="B59" s="529"/>
      <c r="C59" s="22" t="s">
        <v>448</v>
      </c>
      <c r="F59" s="496"/>
      <c r="G59" s="184"/>
      <c r="H59" s="184"/>
      <c r="I59" s="530"/>
    </row>
    <row r="60" spans="2:9" ht="20.25" x14ac:dyDescent="0.3">
      <c r="B60" s="529"/>
      <c r="C60" s="367" t="s">
        <v>449</v>
      </c>
      <c r="F60" s="496"/>
      <c r="G60" s="184"/>
      <c r="H60" s="184"/>
      <c r="I60" s="530"/>
    </row>
    <row r="61" spans="2:9" ht="33.75" customHeight="1" x14ac:dyDescent="0.3">
      <c r="B61" s="529"/>
      <c r="C61" s="793" t="s">
        <v>499</v>
      </c>
      <c r="D61" s="793"/>
      <c r="E61" s="793"/>
      <c r="F61" s="793"/>
      <c r="G61" s="793"/>
      <c r="H61" s="793"/>
      <c r="I61" s="793"/>
    </row>
    <row r="62" spans="2:9" s="554" customFormat="1" ht="39" customHeight="1" x14ac:dyDescent="0.2">
      <c r="B62" s="553"/>
      <c r="C62" s="794" t="s">
        <v>498</v>
      </c>
      <c r="D62" s="794"/>
      <c r="E62" s="794"/>
      <c r="F62" s="794"/>
      <c r="G62" s="794"/>
      <c r="H62" s="794"/>
      <c r="I62" s="794"/>
    </row>
    <row r="63" spans="2:9" ht="20.25" x14ac:dyDescent="0.3">
      <c r="B63" s="529"/>
      <c r="C63" s="367" t="s">
        <v>495</v>
      </c>
      <c r="F63" s="496"/>
      <c r="G63" s="184"/>
      <c r="H63" s="184"/>
      <c r="I63" s="530"/>
    </row>
    <row r="64" spans="2:9" ht="20.25" x14ac:dyDescent="0.3">
      <c r="B64" s="529"/>
      <c r="C64">
        <v>1</v>
      </c>
      <c r="D64" s="367" t="s">
        <v>480</v>
      </c>
      <c r="F64" s="496"/>
      <c r="G64" s="184"/>
      <c r="H64" s="184"/>
      <c r="I64" s="530"/>
    </row>
    <row r="65" spans="3:9" ht="20.25" x14ac:dyDescent="0.3">
      <c r="C65" s="367">
        <v>2</v>
      </c>
      <c r="D65" s="367" t="s">
        <v>481</v>
      </c>
      <c r="F65" s="496"/>
      <c r="G65" s="184"/>
      <c r="H65" s="184"/>
      <c r="I65" s="530"/>
    </row>
    <row r="66" spans="3:9" ht="20.25" x14ac:dyDescent="0.3">
      <c r="C66" s="367">
        <v>3</v>
      </c>
      <c r="D66" s="367" t="s">
        <v>482</v>
      </c>
      <c r="F66" s="496"/>
      <c r="G66" s="184"/>
      <c r="H66" s="184"/>
      <c r="I66" s="530"/>
    </row>
    <row r="67" spans="3:9" ht="20.25" x14ac:dyDescent="0.3">
      <c r="C67" s="367" t="s">
        <v>496</v>
      </c>
      <c r="D67" s="367"/>
      <c r="F67" s="496"/>
      <c r="G67" s="184"/>
      <c r="H67" s="184"/>
      <c r="I67" s="530"/>
    </row>
    <row r="68" spans="3:9" ht="39.75" customHeight="1" x14ac:dyDescent="0.2">
      <c r="C68" s="793" t="s">
        <v>497</v>
      </c>
      <c r="D68" s="793"/>
      <c r="E68" s="793"/>
      <c r="F68" s="793"/>
      <c r="G68" s="793"/>
      <c r="H68" s="793"/>
      <c r="I68" s="793"/>
    </row>
    <row r="69" spans="3:9" ht="20.25" customHeight="1" x14ac:dyDescent="0.2">
      <c r="C69" s="793" t="s">
        <v>500</v>
      </c>
      <c r="D69" s="793"/>
      <c r="E69" s="793"/>
      <c r="F69" s="793"/>
      <c r="G69" s="793"/>
      <c r="H69" s="793"/>
      <c r="I69" s="793"/>
    </row>
    <row r="70" spans="3:9" ht="11.25" customHeight="1" x14ac:dyDescent="0.3">
      <c r="C70" s="367"/>
      <c r="F70" s="496"/>
      <c r="G70" s="184"/>
      <c r="H70" s="184"/>
      <c r="I70" s="530"/>
    </row>
    <row r="71" spans="3:9" ht="20.25" x14ac:dyDescent="0.3">
      <c r="C71" s="531" t="s">
        <v>450</v>
      </c>
      <c r="F71" s="496"/>
      <c r="G71" s="184"/>
      <c r="H71" s="184"/>
      <c r="I71" s="530"/>
    </row>
    <row r="72" spans="3:9" ht="38.25" customHeight="1" x14ac:dyDescent="0.2">
      <c r="C72" s="793" t="s">
        <v>451</v>
      </c>
      <c r="D72" s="793"/>
      <c r="E72" s="793"/>
      <c r="F72" s="793"/>
      <c r="G72" s="793"/>
      <c r="H72" s="793"/>
      <c r="I72" s="793"/>
    </row>
    <row r="73" spans="3:9" ht="37.5" customHeight="1" x14ac:dyDescent="0.2">
      <c r="C73" s="794" t="s">
        <v>494</v>
      </c>
      <c r="D73" s="794"/>
      <c r="E73" s="794"/>
      <c r="F73" s="794"/>
      <c r="G73" s="794"/>
      <c r="H73" s="794"/>
      <c r="I73" s="794"/>
    </row>
    <row r="74" spans="3:9" ht="18" x14ac:dyDescent="0.25">
      <c r="C74" s="367" t="s">
        <v>452</v>
      </c>
      <c r="F74" s="496"/>
      <c r="G74" s="530"/>
      <c r="H74" s="530"/>
      <c r="I74" s="530"/>
    </row>
    <row r="75" spans="3:9" ht="18" x14ac:dyDescent="0.25">
      <c r="C75" s="367" t="s">
        <v>492</v>
      </c>
      <c r="F75" s="496"/>
      <c r="G75" s="530"/>
      <c r="H75" s="530"/>
      <c r="I75" s="530"/>
    </row>
    <row r="76" spans="3:9" ht="29.25" customHeight="1" x14ac:dyDescent="0.2">
      <c r="C76" s="793" t="s">
        <v>493</v>
      </c>
      <c r="D76" s="793"/>
      <c r="E76" s="793"/>
      <c r="F76" s="793"/>
      <c r="G76" s="793"/>
      <c r="H76" s="793"/>
      <c r="I76" s="793"/>
    </row>
    <row r="77" spans="3:9" ht="18" x14ac:dyDescent="0.25">
      <c r="C77" s="185" t="s">
        <v>483</v>
      </c>
      <c r="F77" s="496"/>
      <c r="G77" s="530"/>
      <c r="H77" s="530"/>
      <c r="I77" s="530"/>
    </row>
    <row r="78" spans="3:9" ht="18" x14ac:dyDescent="0.25">
      <c r="C78" s="185">
        <v>1</v>
      </c>
      <c r="D78" s="185" t="s">
        <v>484</v>
      </c>
      <c r="F78" s="496"/>
      <c r="G78" s="530"/>
      <c r="H78" s="530"/>
      <c r="I78" s="530"/>
    </row>
    <row r="79" spans="3:9" ht="18" x14ac:dyDescent="0.25">
      <c r="C79" s="185">
        <v>2</v>
      </c>
      <c r="D79" s="185" t="s">
        <v>490</v>
      </c>
      <c r="F79" s="496"/>
    </row>
    <row r="80" spans="3:9" ht="18" x14ac:dyDescent="0.25">
      <c r="C80" s="185">
        <v>3</v>
      </c>
      <c r="D80" s="185" t="s">
        <v>491</v>
      </c>
      <c r="F80" s="496"/>
    </row>
    <row r="81" spans="3:6" ht="18" x14ac:dyDescent="0.25">
      <c r="C81" s="185">
        <v>4</v>
      </c>
      <c r="D81" s="185" t="s">
        <v>486</v>
      </c>
      <c r="F81" s="496"/>
    </row>
    <row r="82" spans="3:6" ht="18" x14ac:dyDescent="0.25">
      <c r="C82" s="185" t="s">
        <v>485</v>
      </c>
      <c r="D82" s="185"/>
      <c r="F82" s="496"/>
    </row>
    <row r="83" spans="3:6" ht="18" x14ac:dyDescent="0.25">
      <c r="C83" s="185" t="s">
        <v>488</v>
      </c>
      <c r="D83" s="185"/>
      <c r="F83" s="496"/>
    </row>
    <row r="84" spans="3:6" ht="18" x14ac:dyDescent="0.25">
      <c r="C84" s="185">
        <v>1</v>
      </c>
      <c r="D84" s="185" t="s">
        <v>487</v>
      </c>
      <c r="F84" s="74"/>
    </row>
    <row r="85" spans="3:6" ht="18" x14ac:dyDescent="0.25">
      <c r="C85" s="185">
        <v>2</v>
      </c>
      <c r="D85" s="185" t="s">
        <v>489</v>
      </c>
      <c r="F85" s="74"/>
    </row>
    <row r="86" spans="3:6" x14ac:dyDescent="0.2">
      <c r="C86" s="185" t="s">
        <v>485</v>
      </c>
      <c r="D86" s="185"/>
    </row>
    <row r="87" spans="3:6" x14ac:dyDescent="0.2">
      <c r="C87" s="185" t="s">
        <v>501</v>
      </c>
      <c r="D87" s="185"/>
    </row>
    <row r="88" spans="3:6" x14ac:dyDescent="0.2">
      <c r="C88" s="185" t="s">
        <v>502</v>
      </c>
      <c r="D88" s="185"/>
    </row>
  </sheetData>
  <mergeCells count="8">
    <mergeCell ref="C76:I76"/>
    <mergeCell ref="C39:F39"/>
    <mergeCell ref="C72:I72"/>
    <mergeCell ref="C73:I73"/>
    <mergeCell ref="C68:I68"/>
    <mergeCell ref="C69:I69"/>
    <mergeCell ref="C61:I61"/>
    <mergeCell ref="C62:I62"/>
  </mergeCells>
  <pageMargins left="0.7" right="0.7" top="0.75" bottom="0.75" header="0.3" footer="0.3"/>
  <pageSetup orientation="portrait" horizontalDpi="0" verticalDpi="0"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53"/>
  <sheetViews>
    <sheetView topLeftCell="A4" zoomScale="75" zoomScaleNormal="75" workbookViewId="0">
      <selection activeCell="T18" sqref="T18"/>
    </sheetView>
  </sheetViews>
  <sheetFormatPr defaultRowHeight="14.25" x14ac:dyDescent="0.2"/>
  <cols>
    <col min="1" max="1" width="2.875" style="34" customWidth="1"/>
    <col min="2" max="2" width="8.125" style="34" customWidth="1"/>
    <col min="3" max="3" width="8.75" style="34" customWidth="1"/>
    <col min="4" max="4" width="5.75" style="34" customWidth="1"/>
    <col min="5" max="5" width="2.875" style="34" customWidth="1"/>
    <col min="6" max="6" width="45.625" style="34" customWidth="1"/>
    <col min="7" max="7" width="22.25" style="148" hidden="1" customWidth="1"/>
    <col min="8" max="8" width="23.125" hidden="1" customWidth="1"/>
    <col min="9" max="9" width="1.625" hidden="1" customWidth="1"/>
    <col min="10" max="10" width="26.875" customWidth="1"/>
    <col min="11" max="11" width="24.5" hidden="1" customWidth="1"/>
    <col min="12" max="12" width="1.625" customWidth="1"/>
    <col min="13" max="13" width="23.125" customWidth="1"/>
    <col min="14" max="14" width="1.75" customWidth="1"/>
    <col min="15" max="15" width="15.25" bestFit="1" customWidth="1"/>
    <col min="16" max="16" width="10.625" customWidth="1"/>
    <col min="18" max="18" width="16.875" bestFit="1" customWidth="1"/>
    <col min="19" max="19" width="18.25" bestFit="1" customWidth="1"/>
    <col min="255" max="255" width="2.875" customWidth="1"/>
    <col min="256" max="256" width="8.125" customWidth="1"/>
    <col min="257" max="257" width="8.75" customWidth="1"/>
    <col min="258" max="258" width="11" customWidth="1"/>
    <col min="259" max="259" width="2.875" customWidth="1"/>
    <col min="260" max="260" width="77.625" customWidth="1"/>
    <col min="261" max="261" width="20.875" customWidth="1"/>
    <col min="511" max="511" width="2.875" customWidth="1"/>
    <col min="512" max="512" width="8.125" customWidth="1"/>
    <col min="513" max="513" width="8.75" customWidth="1"/>
    <col min="514" max="514" width="11" customWidth="1"/>
    <col min="515" max="515" width="2.875" customWidth="1"/>
    <col min="516" max="516" width="77.625" customWidth="1"/>
    <col min="517" max="517" width="20.875" customWidth="1"/>
    <col min="767" max="767" width="2.875" customWidth="1"/>
    <col min="768" max="768" width="8.125" customWidth="1"/>
    <col min="769" max="769" width="8.75" customWidth="1"/>
    <col min="770" max="770" width="11" customWidth="1"/>
    <col min="771" max="771" width="2.875" customWidth="1"/>
    <col min="772" max="772" width="77.625" customWidth="1"/>
    <col min="773" max="773" width="20.875" customWidth="1"/>
    <col min="1023" max="1023" width="2.875" customWidth="1"/>
    <col min="1024" max="1024" width="8.125" customWidth="1"/>
    <col min="1025" max="1025" width="8.75" customWidth="1"/>
    <col min="1026" max="1026" width="11" customWidth="1"/>
    <col min="1027" max="1027" width="2.875" customWidth="1"/>
    <col min="1028" max="1028" width="77.625" customWidth="1"/>
    <col min="1029" max="1029" width="20.875" customWidth="1"/>
    <col min="1279" max="1279" width="2.875" customWidth="1"/>
    <col min="1280" max="1280" width="8.125" customWidth="1"/>
    <col min="1281" max="1281" width="8.75" customWidth="1"/>
    <col min="1282" max="1282" width="11" customWidth="1"/>
    <col min="1283" max="1283" width="2.875" customWidth="1"/>
    <col min="1284" max="1284" width="77.625" customWidth="1"/>
    <col min="1285" max="1285" width="20.875" customWidth="1"/>
    <col min="1535" max="1535" width="2.875" customWidth="1"/>
    <col min="1536" max="1536" width="8.125" customWidth="1"/>
    <col min="1537" max="1537" width="8.75" customWidth="1"/>
    <col min="1538" max="1538" width="11" customWidth="1"/>
    <col min="1539" max="1539" width="2.875" customWidth="1"/>
    <col min="1540" max="1540" width="77.625" customWidth="1"/>
    <col min="1541" max="1541" width="20.875" customWidth="1"/>
    <col min="1791" max="1791" width="2.875" customWidth="1"/>
    <col min="1792" max="1792" width="8.125" customWidth="1"/>
    <col min="1793" max="1793" width="8.75" customWidth="1"/>
    <col min="1794" max="1794" width="11" customWidth="1"/>
    <col min="1795" max="1795" width="2.875" customWidth="1"/>
    <col min="1796" max="1796" width="77.625" customWidth="1"/>
    <col min="1797" max="1797" width="20.875" customWidth="1"/>
    <col min="2047" max="2047" width="2.875" customWidth="1"/>
    <col min="2048" max="2048" width="8.125" customWidth="1"/>
    <col min="2049" max="2049" width="8.75" customWidth="1"/>
    <col min="2050" max="2050" width="11" customWidth="1"/>
    <col min="2051" max="2051" width="2.875" customWidth="1"/>
    <col min="2052" max="2052" width="77.625" customWidth="1"/>
    <col min="2053" max="2053" width="20.875" customWidth="1"/>
    <col min="2303" max="2303" width="2.875" customWidth="1"/>
    <col min="2304" max="2304" width="8.125" customWidth="1"/>
    <col min="2305" max="2305" width="8.75" customWidth="1"/>
    <col min="2306" max="2306" width="11" customWidth="1"/>
    <col min="2307" max="2307" width="2.875" customWidth="1"/>
    <col min="2308" max="2308" width="77.625" customWidth="1"/>
    <col min="2309" max="2309" width="20.875" customWidth="1"/>
    <col min="2559" max="2559" width="2.875" customWidth="1"/>
    <col min="2560" max="2560" width="8.125" customWidth="1"/>
    <col min="2561" max="2561" width="8.75" customWidth="1"/>
    <col min="2562" max="2562" width="11" customWidth="1"/>
    <col min="2563" max="2563" width="2.875" customWidth="1"/>
    <col min="2564" max="2564" width="77.625" customWidth="1"/>
    <col min="2565" max="2565" width="20.875" customWidth="1"/>
    <col min="2815" max="2815" width="2.875" customWidth="1"/>
    <col min="2816" max="2816" width="8.125" customWidth="1"/>
    <col min="2817" max="2817" width="8.75" customWidth="1"/>
    <col min="2818" max="2818" width="11" customWidth="1"/>
    <col min="2819" max="2819" width="2.875" customWidth="1"/>
    <col min="2820" max="2820" width="77.625" customWidth="1"/>
    <col min="2821" max="2821" width="20.875" customWidth="1"/>
    <col min="3071" max="3071" width="2.875" customWidth="1"/>
    <col min="3072" max="3072" width="8.125" customWidth="1"/>
    <col min="3073" max="3073" width="8.75" customWidth="1"/>
    <col min="3074" max="3074" width="11" customWidth="1"/>
    <col min="3075" max="3075" width="2.875" customWidth="1"/>
    <col min="3076" max="3076" width="77.625" customWidth="1"/>
    <col min="3077" max="3077" width="20.875" customWidth="1"/>
    <col min="3327" max="3327" width="2.875" customWidth="1"/>
    <col min="3328" max="3328" width="8.125" customWidth="1"/>
    <col min="3329" max="3329" width="8.75" customWidth="1"/>
    <col min="3330" max="3330" width="11" customWidth="1"/>
    <col min="3331" max="3331" width="2.875" customWidth="1"/>
    <col min="3332" max="3332" width="77.625" customWidth="1"/>
    <col min="3333" max="3333" width="20.875" customWidth="1"/>
    <col min="3583" max="3583" width="2.875" customWidth="1"/>
    <col min="3584" max="3584" width="8.125" customWidth="1"/>
    <col min="3585" max="3585" width="8.75" customWidth="1"/>
    <col min="3586" max="3586" width="11" customWidth="1"/>
    <col min="3587" max="3587" width="2.875" customWidth="1"/>
    <col min="3588" max="3588" width="77.625" customWidth="1"/>
    <col min="3589" max="3589" width="20.875" customWidth="1"/>
    <col min="3839" max="3839" width="2.875" customWidth="1"/>
    <col min="3840" max="3840" width="8.125" customWidth="1"/>
    <col min="3841" max="3841" width="8.75" customWidth="1"/>
    <col min="3842" max="3842" width="11" customWidth="1"/>
    <col min="3843" max="3843" width="2.875" customWidth="1"/>
    <col min="3844" max="3844" width="77.625" customWidth="1"/>
    <col min="3845" max="3845" width="20.875" customWidth="1"/>
    <col min="4095" max="4095" width="2.875" customWidth="1"/>
    <col min="4096" max="4096" width="8.125" customWidth="1"/>
    <col min="4097" max="4097" width="8.75" customWidth="1"/>
    <col min="4098" max="4098" width="11" customWidth="1"/>
    <col min="4099" max="4099" width="2.875" customWidth="1"/>
    <col min="4100" max="4100" width="77.625" customWidth="1"/>
    <col min="4101" max="4101" width="20.875" customWidth="1"/>
    <col min="4351" max="4351" width="2.875" customWidth="1"/>
    <col min="4352" max="4352" width="8.125" customWidth="1"/>
    <col min="4353" max="4353" width="8.75" customWidth="1"/>
    <col min="4354" max="4354" width="11" customWidth="1"/>
    <col min="4355" max="4355" width="2.875" customWidth="1"/>
    <col min="4356" max="4356" width="77.625" customWidth="1"/>
    <col min="4357" max="4357" width="20.875" customWidth="1"/>
    <col min="4607" max="4607" width="2.875" customWidth="1"/>
    <col min="4608" max="4608" width="8.125" customWidth="1"/>
    <col min="4609" max="4609" width="8.75" customWidth="1"/>
    <col min="4610" max="4610" width="11" customWidth="1"/>
    <col min="4611" max="4611" width="2.875" customWidth="1"/>
    <col min="4612" max="4612" width="77.625" customWidth="1"/>
    <col min="4613" max="4613" width="20.875" customWidth="1"/>
    <col min="4863" max="4863" width="2.875" customWidth="1"/>
    <col min="4864" max="4864" width="8.125" customWidth="1"/>
    <col min="4865" max="4865" width="8.75" customWidth="1"/>
    <col min="4866" max="4866" width="11" customWidth="1"/>
    <col min="4867" max="4867" width="2.875" customWidth="1"/>
    <col min="4868" max="4868" width="77.625" customWidth="1"/>
    <col min="4869" max="4869" width="20.875" customWidth="1"/>
    <col min="5119" max="5119" width="2.875" customWidth="1"/>
    <col min="5120" max="5120" width="8.125" customWidth="1"/>
    <col min="5121" max="5121" width="8.75" customWidth="1"/>
    <col min="5122" max="5122" width="11" customWidth="1"/>
    <col min="5123" max="5123" width="2.875" customWidth="1"/>
    <col min="5124" max="5124" width="77.625" customWidth="1"/>
    <col min="5125" max="5125" width="20.875" customWidth="1"/>
    <col min="5375" max="5375" width="2.875" customWidth="1"/>
    <col min="5376" max="5376" width="8.125" customWidth="1"/>
    <col min="5377" max="5377" width="8.75" customWidth="1"/>
    <col min="5378" max="5378" width="11" customWidth="1"/>
    <col min="5379" max="5379" width="2.875" customWidth="1"/>
    <col min="5380" max="5380" width="77.625" customWidth="1"/>
    <col min="5381" max="5381" width="20.875" customWidth="1"/>
    <col min="5631" max="5631" width="2.875" customWidth="1"/>
    <col min="5632" max="5632" width="8.125" customWidth="1"/>
    <col min="5633" max="5633" width="8.75" customWidth="1"/>
    <col min="5634" max="5634" width="11" customWidth="1"/>
    <col min="5635" max="5635" width="2.875" customWidth="1"/>
    <col min="5636" max="5636" width="77.625" customWidth="1"/>
    <col min="5637" max="5637" width="20.875" customWidth="1"/>
    <col min="5887" max="5887" width="2.875" customWidth="1"/>
    <col min="5888" max="5888" width="8.125" customWidth="1"/>
    <col min="5889" max="5889" width="8.75" customWidth="1"/>
    <col min="5890" max="5890" width="11" customWidth="1"/>
    <col min="5891" max="5891" width="2.875" customWidth="1"/>
    <col min="5892" max="5892" width="77.625" customWidth="1"/>
    <col min="5893" max="5893" width="20.875" customWidth="1"/>
    <col min="6143" max="6143" width="2.875" customWidth="1"/>
    <col min="6144" max="6144" width="8.125" customWidth="1"/>
    <col min="6145" max="6145" width="8.75" customWidth="1"/>
    <col min="6146" max="6146" width="11" customWidth="1"/>
    <col min="6147" max="6147" width="2.875" customWidth="1"/>
    <col min="6148" max="6148" width="77.625" customWidth="1"/>
    <col min="6149" max="6149" width="20.875" customWidth="1"/>
    <col min="6399" max="6399" width="2.875" customWidth="1"/>
    <col min="6400" max="6400" width="8.125" customWidth="1"/>
    <col min="6401" max="6401" width="8.75" customWidth="1"/>
    <col min="6402" max="6402" width="11" customWidth="1"/>
    <col min="6403" max="6403" width="2.875" customWidth="1"/>
    <col min="6404" max="6404" width="77.625" customWidth="1"/>
    <col min="6405" max="6405" width="20.875" customWidth="1"/>
    <col min="6655" max="6655" width="2.875" customWidth="1"/>
    <col min="6656" max="6656" width="8.125" customWidth="1"/>
    <col min="6657" max="6657" width="8.75" customWidth="1"/>
    <col min="6658" max="6658" width="11" customWidth="1"/>
    <col min="6659" max="6659" width="2.875" customWidth="1"/>
    <col min="6660" max="6660" width="77.625" customWidth="1"/>
    <col min="6661" max="6661" width="20.875" customWidth="1"/>
    <col min="6911" max="6911" width="2.875" customWidth="1"/>
    <col min="6912" max="6912" width="8.125" customWidth="1"/>
    <col min="6913" max="6913" width="8.75" customWidth="1"/>
    <col min="6914" max="6914" width="11" customWidth="1"/>
    <col min="6915" max="6915" width="2.875" customWidth="1"/>
    <col min="6916" max="6916" width="77.625" customWidth="1"/>
    <col min="6917" max="6917" width="20.875" customWidth="1"/>
    <col min="7167" max="7167" width="2.875" customWidth="1"/>
    <col min="7168" max="7168" width="8.125" customWidth="1"/>
    <col min="7169" max="7169" width="8.75" customWidth="1"/>
    <col min="7170" max="7170" width="11" customWidth="1"/>
    <col min="7171" max="7171" width="2.875" customWidth="1"/>
    <col min="7172" max="7172" width="77.625" customWidth="1"/>
    <col min="7173" max="7173" width="20.875" customWidth="1"/>
    <col min="7423" max="7423" width="2.875" customWidth="1"/>
    <col min="7424" max="7424" width="8.125" customWidth="1"/>
    <col min="7425" max="7425" width="8.75" customWidth="1"/>
    <col min="7426" max="7426" width="11" customWidth="1"/>
    <col min="7427" max="7427" width="2.875" customWidth="1"/>
    <col min="7428" max="7428" width="77.625" customWidth="1"/>
    <col min="7429" max="7429" width="20.875" customWidth="1"/>
    <col min="7679" max="7679" width="2.875" customWidth="1"/>
    <col min="7680" max="7680" width="8.125" customWidth="1"/>
    <col min="7681" max="7681" width="8.75" customWidth="1"/>
    <col min="7682" max="7682" width="11" customWidth="1"/>
    <col min="7683" max="7683" width="2.875" customWidth="1"/>
    <col min="7684" max="7684" width="77.625" customWidth="1"/>
    <col min="7685" max="7685" width="20.875" customWidth="1"/>
    <col min="7935" max="7935" width="2.875" customWidth="1"/>
    <col min="7936" max="7936" width="8.125" customWidth="1"/>
    <col min="7937" max="7937" width="8.75" customWidth="1"/>
    <col min="7938" max="7938" width="11" customWidth="1"/>
    <col min="7939" max="7939" width="2.875" customWidth="1"/>
    <col min="7940" max="7940" width="77.625" customWidth="1"/>
    <col min="7941" max="7941" width="20.875" customWidth="1"/>
    <col min="8191" max="8191" width="2.875" customWidth="1"/>
    <col min="8192" max="8192" width="8.125" customWidth="1"/>
    <col min="8193" max="8193" width="8.75" customWidth="1"/>
    <col min="8194" max="8194" width="11" customWidth="1"/>
    <col min="8195" max="8195" width="2.875" customWidth="1"/>
    <col min="8196" max="8196" width="77.625" customWidth="1"/>
    <col min="8197" max="8197" width="20.875" customWidth="1"/>
    <col min="8447" max="8447" width="2.875" customWidth="1"/>
    <col min="8448" max="8448" width="8.125" customWidth="1"/>
    <col min="8449" max="8449" width="8.75" customWidth="1"/>
    <col min="8450" max="8450" width="11" customWidth="1"/>
    <col min="8451" max="8451" width="2.875" customWidth="1"/>
    <col min="8452" max="8452" width="77.625" customWidth="1"/>
    <col min="8453" max="8453" width="20.875" customWidth="1"/>
    <col min="8703" max="8703" width="2.875" customWidth="1"/>
    <col min="8704" max="8704" width="8.125" customWidth="1"/>
    <col min="8705" max="8705" width="8.75" customWidth="1"/>
    <col min="8706" max="8706" width="11" customWidth="1"/>
    <col min="8707" max="8707" width="2.875" customWidth="1"/>
    <col min="8708" max="8708" width="77.625" customWidth="1"/>
    <col min="8709" max="8709" width="20.875" customWidth="1"/>
    <col min="8959" max="8959" width="2.875" customWidth="1"/>
    <col min="8960" max="8960" width="8.125" customWidth="1"/>
    <col min="8961" max="8961" width="8.75" customWidth="1"/>
    <col min="8962" max="8962" width="11" customWidth="1"/>
    <col min="8963" max="8963" width="2.875" customWidth="1"/>
    <col min="8964" max="8964" width="77.625" customWidth="1"/>
    <col min="8965" max="8965" width="20.875" customWidth="1"/>
    <col min="9215" max="9215" width="2.875" customWidth="1"/>
    <col min="9216" max="9216" width="8.125" customWidth="1"/>
    <col min="9217" max="9217" width="8.75" customWidth="1"/>
    <col min="9218" max="9218" width="11" customWidth="1"/>
    <col min="9219" max="9219" width="2.875" customWidth="1"/>
    <col min="9220" max="9220" width="77.625" customWidth="1"/>
    <col min="9221" max="9221" width="20.875" customWidth="1"/>
    <col min="9471" max="9471" width="2.875" customWidth="1"/>
    <col min="9472" max="9472" width="8.125" customWidth="1"/>
    <col min="9473" max="9473" width="8.75" customWidth="1"/>
    <col min="9474" max="9474" width="11" customWidth="1"/>
    <col min="9475" max="9475" width="2.875" customWidth="1"/>
    <col min="9476" max="9476" width="77.625" customWidth="1"/>
    <col min="9477" max="9477" width="20.875" customWidth="1"/>
    <col min="9727" max="9727" width="2.875" customWidth="1"/>
    <col min="9728" max="9728" width="8.125" customWidth="1"/>
    <col min="9729" max="9729" width="8.75" customWidth="1"/>
    <col min="9730" max="9730" width="11" customWidth="1"/>
    <col min="9731" max="9731" width="2.875" customWidth="1"/>
    <col min="9732" max="9732" width="77.625" customWidth="1"/>
    <col min="9733" max="9733" width="20.875" customWidth="1"/>
    <col min="9983" max="9983" width="2.875" customWidth="1"/>
    <col min="9984" max="9984" width="8.125" customWidth="1"/>
    <col min="9985" max="9985" width="8.75" customWidth="1"/>
    <col min="9986" max="9986" width="11" customWidth="1"/>
    <col min="9987" max="9987" width="2.875" customWidth="1"/>
    <col min="9988" max="9988" width="77.625" customWidth="1"/>
    <col min="9989" max="9989" width="20.875" customWidth="1"/>
    <col min="10239" max="10239" width="2.875" customWidth="1"/>
    <col min="10240" max="10240" width="8.125" customWidth="1"/>
    <col min="10241" max="10241" width="8.75" customWidth="1"/>
    <col min="10242" max="10242" width="11" customWidth="1"/>
    <col min="10243" max="10243" width="2.875" customWidth="1"/>
    <col min="10244" max="10244" width="77.625" customWidth="1"/>
    <col min="10245" max="10245" width="20.875" customWidth="1"/>
    <col min="10495" max="10495" width="2.875" customWidth="1"/>
    <col min="10496" max="10496" width="8.125" customWidth="1"/>
    <col min="10497" max="10497" width="8.75" customWidth="1"/>
    <col min="10498" max="10498" width="11" customWidth="1"/>
    <col min="10499" max="10499" width="2.875" customWidth="1"/>
    <col min="10500" max="10500" width="77.625" customWidth="1"/>
    <col min="10501" max="10501" width="20.875" customWidth="1"/>
    <col min="10751" max="10751" width="2.875" customWidth="1"/>
    <col min="10752" max="10752" width="8.125" customWidth="1"/>
    <col min="10753" max="10753" width="8.75" customWidth="1"/>
    <col min="10754" max="10754" width="11" customWidth="1"/>
    <col min="10755" max="10755" width="2.875" customWidth="1"/>
    <col min="10756" max="10756" width="77.625" customWidth="1"/>
    <col min="10757" max="10757" width="20.875" customWidth="1"/>
    <col min="11007" max="11007" width="2.875" customWidth="1"/>
    <col min="11008" max="11008" width="8.125" customWidth="1"/>
    <col min="11009" max="11009" width="8.75" customWidth="1"/>
    <col min="11010" max="11010" width="11" customWidth="1"/>
    <col min="11011" max="11011" width="2.875" customWidth="1"/>
    <col min="11012" max="11012" width="77.625" customWidth="1"/>
    <col min="11013" max="11013" width="20.875" customWidth="1"/>
    <col min="11263" max="11263" width="2.875" customWidth="1"/>
    <col min="11264" max="11264" width="8.125" customWidth="1"/>
    <col min="11265" max="11265" width="8.75" customWidth="1"/>
    <col min="11266" max="11266" width="11" customWidth="1"/>
    <col min="11267" max="11267" width="2.875" customWidth="1"/>
    <col min="11268" max="11268" width="77.625" customWidth="1"/>
    <col min="11269" max="11269" width="20.875" customWidth="1"/>
    <col min="11519" max="11519" width="2.875" customWidth="1"/>
    <col min="11520" max="11520" width="8.125" customWidth="1"/>
    <col min="11521" max="11521" width="8.75" customWidth="1"/>
    <col min="11522" max="11522" width="11" customWidth="1"/>
    <col min="11523" max="11523" width="2.875" customWidth="1"/>
    <col min="11524" max="11524" width="77.625" customWidth="1"/>
    <col min="11525" max="11525" width="20.875" customWidth="1"/>
    <col min="11775" max="11775" width="2.875" customWidth="1"/>
    <col min="11776" max="11776" width="8.125" customWidth="1"/>
    <col min="11777" max="11777" width="8.75" customWidth="1"/>
    <col min="11778" max="11778" width="11" customWidth="1"/>
    <col min="11779" max="11779" width="2.875" customWidth="1"/>
    <col min="11780" max="11780" width="77.625" customWidth="1"/>
    <col min="11781" max="11781" width="20.875" customWidth="1"/>
    <col min="12031" max="12031" width="2.875" customWidth="1"/>
    <col min="12032" max="12032" width="8.125" customWidth="1"/>
    <col min="12033" max="12033" width="8.75" customWidth="1"/>
    <col min="12034" max="12034" width="11" customWidth="1"/>
    <col min="12035" max="12035" width="2.875" customWidth="1"/>
    <col min="12036" max="12036" width="77.625" customWidth="1"/>
    <col min="12037" max="12037" width="20.875" customWidth="1"/>
    <col min="12287" max="12287" width="2.875" customWidth="1"/>
    <col min="12288" max="12288" width="8.125" customWidth="1"/>
    <col min="12289" max="12289" width="8.75" customWidth="1"/>
    <col min="12290" max="12290" width="11" customWidth="1"/>
    <col min="12291" max="12291" width="2.875" customWidth="1"/>
    <col min="12292" max="12292" width="77.625" customWidth="1"/>
    <col min="12293" max="12293" width="20.875" customWidth="1"/>
    <col min="12543" max="12543" width="2.875" customWidth="1"/>
    <col min="12544" max="12544" width="8.125" customWidth="1"/>
    <col min="12545" max="12545" width="8.75" customWidth="1"/>
    <col min="12546" max="12546" width="11" customWidth="1"/>
    <col min="12547" max="12547" width="2.875" customWidth="1"/>
    <col min="12548" max="12548" width="77.625" customWidth="1"/>
    <col min="12549" max="12549" width="20.875" customWidth="1"/>
    <col min="12799" max="12799" width="2.875" customWidth="1"/>
    <col min="12800" max="12800" width="8.125" customWidth="1"/>
    <col min="12801" max="12801" width="8.75" customWidth="1"/>
    <col min="12802" max="12802" width="11" customWidth="1"/>
    <col min="12803" max="12803" width="2.875" customWidth="1"/>
    <col min="12804" max="12804" width="77.625" customWidth="1"/>
    <col min="12805" max="12805" width="20.875" customWidth="1"/>
    <col min="13055" max="13055" width="2.875" customWidth="1"/>
    <col min="13056" max="13056" width="8.125" customWidth="1"/>
    <col min="13057" max="13057" width="8.75" customWidth="1"/>
    <col min="13058" max="13058" width="11" customWidth="1"/>
    <col min="13059" max="13059" width="2.875" customWidth="1"/>
    <col min="13060" max="13060" width="77.625" customWidth="1"/>
    <col min="13061" max="13061" width="20.875" customWidth="1"/>
    <col min="13311" max="13311" width="2.875" customWidth="1"/>
    <col min="13312" max="13312" width="8.125" customWidth="1"/>
    <col min="13313" max="13313" width="8.75" customWidth="1"/>
    <col min="13314" max="13314" width="11" customWidth="1"/>
    <col min="13315" max="13315" width="2.875" customWidth="1"/>
    <col min="13316" max="13316" width="77.625" customWidth="1"/>
    <col min="13317" max="13317" width="20.875" customWidth="1"/>
    <col min="13567" max="13567" width="2.875" customWidth="1"/>
    <col min="13568" max="13568" width="8.125" customWidth="1"/>
    <col min="13569" max="13569" width="8.75" customWidth="1"/>
    <col min="13570" max="13570" width="11" customWidth="1"/>
    <col min="13571" max="13571" width="2.875" customWidth="1"/>
    <col min="13572" max="13572" width="77.625" customWidth="1"/>
    <col min="13573" max="13573" width="20.875" customWidth="1"/>
    <col min="13823" max="13823" width="2.875" customWidth="1"/>
    <col min="13824" max="13824" width="8.125" customWidth="1"/>
    <col min="13825" max="13825" width="8.75" customWidth="1"/>
    <col min="13826" max="13826" width="11" customWidth="1"/>
    <col min="13827" max="13827" width="2.875" customWidth="1"/>
    <col min="13828" max="13828" width="77.625" customWidth="1"/>
    <col min="13829" max="13829" width="20.875" customWidth="1"/>
    <col min="14079" max="14079" width="2.875" customWidth="1"/>
    <col min="14080" max="14080" width="8.125" customWidth="1"/>
    <col min="14081" max="14081" width="8.75" customWidth="1"/>
    <col min="14082" max="14082" width="11" customWidth="1"/>
    <col min="14083" max="14083" width="2.875" customWidth="1"/>
    <col min="14084" max="14084" width="77.625" customWidth="1"/>
    <col min="14085" max="14085" width="20.875" customWidth="1"/>
    <col min="14335" max="14335" width="2.875" customWidth="1"/>
    <col min="14336" max="14336" width="8.125" customWidth="1"/>
    <col min="14337" max="14337" width="8.75" customWidth="1"/>
    <col min="14338" max="14338" width="11" customWidth="1"/>
    <col min="14339" max="14339" width="2.875" customWidth="1"/>
    <col min="14340" max="14340" width="77.625" customWidth="1"/>
    <col min="14341" max="14341" width="20.875" customWidth="1"/>
    <col min="14591" max="14591" width="2.875" customWidth="1"/>
    <col min="14592" max="14592" width="8.125" customWidth="1"/>
    <col min="14593" max="14593" width="8.75" customWidth="1"/>
    <col min="14594" max="14594" width="11" customWidth="1"/>
    <col min="14595" max="14595" width="2.875" customWidth="1"/>
    <col min="14596" max="14596" width="77.625" customWidth="1"/>
    <col min="14597" max="14597" width="20.875" customWidth="1"/>
    <col min="14847" max="14847" width="2.875" customWidth="1"/>
    <col min="14848" max="14848" width="8.125" customWidth="1"/>
    <col min="14849" max="14849" width="8.75" customWidth="1"/>
    <col min="14850" max="14850" width="11" customWidth="1"/>
    <col min="14851" max="14851" width="2.875" customWidth="1"/>
    <col min="14852" max="14852" width="77.625" customWidth="1"/>
    <col min="14853" max="14853" width="20.875" customWidth="1"/>
    <col min="15103" max="15103" width="2.875" customWidth="1"/>
    <col min="15104" max="15104" width="8.125" customWidth="1"/>
    <col min="15105" max="15105" width="8.75" customWidth="1"/>
    <col min="15106" max="15106" width="11" customWidth="1"/>
    <col min="15107" max="15107" width="2.875" customWidth="1"/>
    <col min="15108" max="15108" width="77.625" customWidth="1"/>
    <col min="15109" max="15109" width="20.875" customWidth="1"/>
    <col min="15359" max="15359" width="2.875" customWidth="1"/>
    <col min="15360" max="15360" width="8.125" customWidth="1"/>
    <col min="15361" max="15361" width="8.75" customWidth="1"/>
    <col min="15362" max="15362" width="11" customWidth="1"/>
    <col min="15363" max="15363" width="2.875" customWidth="1"/>
    <col min="15364" max="15364" width="77.625" customWidth="1"/>
    <col min="15365" max="15365" width="20.875" customWidth="1"/>
    <col min="15615" max="15615" width="2.875" customWidth="1"/>
    <col min="15616" max="15616" width="8.125" customWidth="1"/>
    <col min="15617" max="15617" width="8.75" customWidth="1"/>
    <col min="15618" max="15618" width="11" customWidth="1"/>
    <col min="15619" max="15619" width="2.875" customWidth="1"/>
    <col min="15620" max="15620" width="77.625" customWidth="1"/>
    <col min="15621" max="15621" width="20.875" customWidth="1"/>
    <col min="15871" max="15871" width="2.875" customWidth="1"/>
    <col min="15872" max="15872" width="8.125" customWidth="1"/>
    <col min="15873" max="15873" width="8.75" customWidth="1"/>
    <col min="15874" max="15874" width="11" customWidth="1"/>
    <col min="15875" max="15875" width="2.875" customWidth="1"/>
    <col min="15876" max="15876" width="77.625" customWidth="1"/>
    <col min="15877" max="15877" width="20.875" customWidth="1"/>
    <col min="16127" max="16127" width="2.875" customWidth="1"/>
    <col min="16128" max="16128" width="8.125" customWidth="1"/>
    <col min="16129" max="16129" width="8.75" customWidth="1"/>
    <col min="16130" max="16130" width="11" customWidth="1"/>
    <col min="16131" max="16131" width="2.875" customWidth="1"/>
    <col min="16132" max="16132" width="77.625" customWidth="1"/>
    <col min="16133" max="16133" width="20.875" customWidth="1"/>
  </cols>
  <sheetData>
    <row r="1" spans="1:16" ht="22.5" customHeight="1" x14ac:dyDescent="0.4">
      <c r="A1" s="35" t="s">
        <v>90</v>
      </c>
      <c r="B1" s="36"/>
      <c r="C1" s="37"/>
      <c r="D1" s="37"/>
      <c r="E1" s="37"/>
      <c r="F1" s="36"/>
      <c r="G1" s="149"/>
      <c r="H1" s="36"/>
      <c r="I1" s="36"/>
      <c r="J1" s="36"/>
      <c r="K1" s="36"/>
      <c r="L1" s="36"/>
      <c r="M1" s="36"/>
      <c r="N1" s="36"/>
      <c r="O1" s="36"/>
      <c r="P1" s="36"/>
    </row>
    <row r="2" spans="1:16" ht="22.5" customHeight="1" x14ac:dyDescent="0.4">
      <c r="A2" s="35" t="s">
        <v>206</v>
      </c>
      <c r="B2" s="36"/>
      <c r="C2" s="37"/>
      <c r="D2" s="37"/>
      <c r="E2" s="37"/>
      <c r="F2" s="36"/>
      <c r="G2" s="149"/>
      <c r="H2" s="36"/>
      <c r="I2" s="36"/>
      <c r="J2" s="36"/>
      <c r="K2" s="36"/>
      <c r="L2" s="36"/>
      <c r="M2" s="36"/>
      <c r="N2" s="36"/>
      <c r="O2" s="36"/>
      <c r="P2" s="36"/>
    </row>
    <row r="3" spans="1:16" ht="21.75" customHeight="1" x14ac:dyDescent="0.4">
      <c r="A3" s="35" t="s">
        <v>360</v>
      </c>
      <c r="B3" s="36"/>
      <c r="C3" s="37"/>
      <c r="D3" s="37"/>
      <c r="E3" s="37"/>
      <c r="F3" s="36"/>
      <c r="G3" s="149"/>
      <c r="H3" s="36"/>
      <c r="I3" s="36"/>
      <c r="J3" s="36"/>
      <c r="K3" s="36"/>
      <c r="L3" s="36"/>
      <c r="M3" s="36"/>
      <c r="N3" s="36"/>
      <c r="O3" s="36"/>
      <c r="P3" s="36"/>
    </row>
    <row r="4" spans="1:16" ht="22.5" customHeight="1" x14ac:dyDescent="0.4">
      <c r="A4" s="35"/>
      <c r="B4" s="36"/>
      <c r="C4" s="37"/>
      <c r="D4" s="37"/>
      <c r="E4" s="37"/>
      <c r="F4" s="36"/>
      <c r="G4" s="149"/>
      <c r="H4" s="36"/>
      <c r="I4" s="36"/>
      <c r="J4" s="36"/>
      <c r="K4" s="36"/>
      <c r="L4" s="36"/>
      <c r="M4" s="36"/>
      <c r="N4" s="36"/>
      <c r="O4" s="36"/>
      <c r="P4" s="36"/>
    </row>
    <row r="5" spans="1:16" s="39" customFormat="1" ht="8.25" customHeight="1" thickBot="1" x14ac:dyDescent="0.25">
      <c r="A5" s="38"/>
      <c r="B5" s="38"/>
      <c r="C5" s="38"/>
      <c r="D5" s="38"/>
      <c r="E5" s="38"/>
      <c r="F5" s="38"/>
      <c r="G5" s="150"/>
    </row>
    <row r="6" spans="1:16" s="42" customFormat="1" ht="24.75" customHeight="1" thickTop="1" thickBot="1" x14ac:dyDescent="0.25">
      <c r="A6" s="40" t="s">
        <v>104</v>
      </c>
      <c r="B6" s="40"/>
      <c r="C6" s="40"/>
      <c r="D6" s="40"/>
      <c r="E6" s="40"/>
      <c r="F6" s="40"/>
      <c r="G6" s="269"/>
      <c r="H6" s="157" t="s">
        <v>46</v>
      </c>
      <c r="I6" s="157"/>
      <c r="J6" s="790" t="s">
        <v>46</v>
      </c>
      <c r="K6" s="790"/>
      <c r="L6" s="790"/>
      <c r="M6" s="790"/>
      <c r="N6" s="41"/>
      <c r="O6" s="277" t="s">
        <v>176</v>
      </c>
      <c r="P6" s="274" t="s">
        <v>188</v>
      </c>
    </row>
    <row r="7" spans="1:16" s="44" customFormat="1" ht="8.25" customHeight="1" thickTop="1" x14ac:dyDescent="0.2">
      <c r="A7" s="43"/>
      <c r="B7" s="43"/>
      <c r="C7" s="43"/>
      <c r="D7" s="43"/>
      <c r="E7" s="43"/>
      <c r="F7" s="43"/>
      <c r="G7" s="151"/>
    </row>
    <row r="8" spans="1:16" ht="21" thickBot="1" x14ac:dyDescent="0.35">
      <c r="A8" s="45"/>
      <c r="B8" s="98" t="s">
        <v>96</v>
      </c>
      <c r="C8" s="98"/>
      <c r="D8" s="98"/>
      <c r="E8" s="98"/>
      <c r="F8" s="98"/>
      <c r="G8" s="187">
        <v>41090</v>
      </c>
      <c r="H8" s="187">
        <v>41274</v>
      </c>
      <c r="I8" s="224"/>
      <c r="J8" s="187">
        <v>43830</v>
      </c>
      <c r="K8" s="449">
        <f>'February''25 State of Activities'!H8</f>
        <v>45657</v>
      </c>
      <c r="L8" s="224"/>
      <c r="M8" s="187">
        <v>44196</v>
      </c>
      <c r="O8" s="861" t="s">
        <v>363</v>
      </c>
      <c r="P8" s="861"/>
    </row>
    <row r="9" spans="1:16" s="44" customFormat="1" ht="20.25" x14ac:dyDescent="0.2">
      <c r="A9" s="43"/>
      <c r="B9" s="43"/>
      <c r="C9" s="47" t="s">
        <v>146</v>
      </c>
      <c r="D9" s="47"/>
      <c r="E9" s="47"/>
      <c r="F9" s="43"/>
      <c r="G9" s="151">
        <v>127719</v>
      </c>
      <c r="H9" s="151">
        <v>67566.5</v>
      </c>
      <c r="I9" s="151"/>
      <c r="J9" s="160">
        <v>160000</v>
      </c>
      <c r="K9" s="160">
        <f>'February''25 State of Activities'!H10</f>
        <v>187799</v>
      </c>
      <c r="L9" s="160"/>
      <c r="M9" s="160">
        <v>160000</v>
      </c>
      <c r="O9" s="261">
        <f>M9-J9</f>
        <v>0</v>
      </c>
      <c r="P9" s="275">
        <f>O9/M9</f>
        <v>0</v>
      </c>
    </row>
    <row r="10" spans="1:16" s="44" customFormat="1" ht="20.25" x14ac:dyDescent="0.2">
      <c r="A10" s="43"/>
      <c r="B10" s="43"/>
      <c r="C10" s="47" t="s">
        <v>207</v>
      </c>
      <c r="D10" s="47"/>
      <c r="E10" s="47"/>
      <c r="F10" s="43"/>
      <c r="G10" s="160">
        <v>875436</v>
      </c>
      <c r="H10" s="160">
        <v>372424.1</v>
      </c>
      <c r="I10" s="160"/>
      <c r="J10" s="151">
        <v>5000</v>
      </c>
      <c r="K10" s="151">
        <f>10471.96+(5268.48+3381.01)*1.14</f>
        <v>20332.378599999996</v>
      </c>
      <c r="L10" s="160"/>
      <c r="M10" s="151">
        <v>10000</v>
      </c>
      <c r="O10" s="337">
        <f>M10-J10</f>
        <v>5000</v>
      </c>
      <c r="P10" s="289">
        <f>O10/M10</f>
        <v>0.5</v>
      </c>
    </row>
    <row r="11" spans="1:16" s="44" customFormat="1" ht="20.25" x14ac:dyDescent="0.2">
      <c r="A11" s="43"/>
      <c r="B11" s="43"/>
      <c r="C11" s="47" t="s">
        <v>98</v>
      </c>
      <c r="D11" s="47"/>
      <c r="E11" s="47"/>
      <c r="F11" s="43"/>
      <c r="G11" s="151"/>
      <c r="H11" s="151"/>
      <c r="I11" s="151"/>
      <c r="J11" s="151"/>
      <c r="K11" s="151"/>
      <c r="L11" s="151"/>
      <c r="M11" s="151"/>
      <c r="O11" s="337"/>
      <c r="P11" s="281"/>
    </row>
    <row r="12" spans="1:16" s="44" customFormat="1" ht="20.25" x14ac:dyDescent="0.2">
      <c r="A12" s="43"/>
      <c r="B12" s="43"/>
      <c r="D12" s="47" t="s">
        <v>208</v>
      </c>
      <c r="E12" s="47"/>
      <c r="F12" s="43"/>
      <c r="G12" s="151">
        <v>94235.25</v>
      </c>
      <c r="H12" s="151">
        <v>37190.379999999997</v>
      </c>
      <c r="I12" s="151"/>
      <c r="J12" s="151">
        <f>3708.33*12</f>
        <v>44499.96</v>
      </c>
      <c r="K12" s="151">
        <f>3541.67*12</f>
        <v>42500.04</v>
      </c>
      <c r="L12" s="151"/>
      <c r="M12" s="151">
        <v>44500</v>
      </c>
      <c r="O12" s="337">
        <f t="shared" ref="O12:O19" si="0">M12-J12</f>
        <v>4.0000000000873115E-2</v>
      </c>
      <c r="P12" s="289">
        <f t="shared" ref="P12:P18" si="1">O12/M12</f>
        <v>8.9887640451400261E-7</v>
      </c>
    </row>
    <row r="13" spans="1:16" s="44" customFormat="1" ht="20.25" x14ac:dyDescent="0.2">
      <c r="A13" s="43"/>
      <c r="B13" s="43"/>
      <c r="D13" s="47" t="s">
        <v>154</v>
      </c>
      <c r="E13" s="47"/>
      <c r="F13" s="43"/>
      <c r="G13" s="151"/>
      <c r="H13" s="151"/>
      <c r="I13" s="151"/>
      <c r="J13" s="151">
        <v>13000</v>
      </c>
      <c r="K13" s="151">
        <f>750*12</f>
        <v>9000</v>
      </c>
      <c r="L13" s="151"/>
      <c r="M13" s="151">
        <v>18000</v>
      </c>
      <c r="O13" s="337">
        <f t="shared" si="0"/>
        <v>5000</v>
      </c>
      <c r="P13" s="289">
        <f t="shared" si="1"/>
        <v>0.27777777777777779</v>
      </c>
    </row>
    <row r="14" spans="1:16" s="44" customFormat="1" ht="20.25" x14ac:dyDescent="0.2">
      <c r="A14" s="43"/>
      <c r="B14" s="43"/>
      <c r="C14" s="47" t="s">
        <v>99</v>
      </c>
      <c r="D14" s="47"/>
      <c r="E14" s="47"/>
      <c r="F14" s="43"/>
      <c r="G14" s="151">
        <v>0</v>
      </c>
      <c r="H14" s="151">
        <v>3517</v>
      </c>
      <c r="I14" s="151"/>
      <c r="J14" s="151">
        <v>15000</v>
      </c>
      <c r="K14" s="151">
        <f>'February''25 State of Activities'!H18</f>
        <v>20091.96</v>
      </c>
      <c r="L14" s="151"/>
      <c r="M14" s="151">
        <v>20000</v>
      </c>
      <c r="O14" s="337">
        <f t="shared" si="0"/>
        <v>5000</v>
      </c>
      <c r="P14" s="289">
        <f t="shared" si="1"/>
        <v>0.25</v>
      </c>
    </row>
    <row r="15" spans="1:16" s="44" customFormat="1" ht="20.25" x14ac:dyDescent="0.2">
      <c r="A15" s="43"/>
      <c r="B15" s="43"/>
      <c r="C15" s="47" t="s">
        <v>361</v>
      </c>
      <c r="D15" s="47"/>
      <c r="E15" s="47"/>
      <c r="F15" s="43"/>
      <c r="G15" s="151">
        <v>31459</v>
      </c>
      <c r="H15" s="151">
        <v>13920.35</v>
      </c>
      <c r="I15" s="151"/>
      <c r="J15" s="151">
        <v>25000</v>
      </c>
      <c r="K15" s="151">
        <v>25000</v>
      </c>
      <c r="L15" s="151"/>
      <c r="M15" s="151">
        <v>25000</v>
      </c>
      <c r="O15" s="337">
        <f t="shared" si="0"/>
        <v>0</v>
      </c>
      <c r="P15" s="289">
        <f t="shared" si="1"/>
        <v>0</v>
      </c>
    </row>
    <row r="16" spans="1:16" s="44" customFormat="1" ht="20.25" x14ac:dyDescent="0.2">
      <c r="A16" s="43"/>
      <c r="B16" s="43"/>
      <c r="C16" s="47" t="s">
        <v>362</v>
      </c>
      <c r="D16" s="47"/>
      <c r="E16" s="47"/>
      <c r="F16" s="43"/>
      <c r="G16" s="151"/>
      <c r="H16" s="151"/>
      <c r="I16" s="151"/>
      <c r="J16" s="151">
        <v>20000</v>
      </c>
      <c r="K16" s="151"/>
      <c r="L16" s="151"/>
      <c r="M16" s="151">
        <v>15000</v>
      </c>
      <c r="O16" s="337">
        <f t="shared" si="0"/>
        <v>-5000</v>
      </c>
      <c r="P16" s="289">
        <f t="shared" si="1"/>
        <v>-0.33333333333333331</v>
      </c>
    </row>
    <row r="17" spans="1:16" s="44" customFormat="1" ht="20.25" x14ac:dyDescent="0.2">
      <c r="A17" s="43"/>
      <c r="B17" s="43"/>
      <c r="C17" s="47" t="s">
        <v>321</v>
      </c>
      <c r="D17" s="47"/>
      <c r="E17" s="47"/>
      <c r="F17" s="43"/>
      <c r="G17" s="151"/>
      <c r="H17" s="151"/>
      <c r="I17" s="151"/>
      <c r="J17" s="151">
        <v>2000</v>
      </c>
      <c r="K17" s="151"/>
      <c r="L17" s="151"/>
      <c r="M17" s="151">
        <v>1000</v>
      </c>
      <c r="O17" s="337">
        <f t="shared" si="0"/>
        <v>-1000</v>
      </c>
      <c r="P17" s="289">
        <f t="shared" si="1"/>
        <v>-1</v>
      </c>
    </row>
    <row r="18" spans="1:16" s="44" customFormat="1" ht="20.25" x14ac:dyDescent="0.2">
      <c r="A18" s="43"/>
      <c r="B18" s="43"/>
      <c r="C18" s="792" t="s">
        <v>324</v>
      </c>
      <c r="D18" s="792"/>
      <c r="E18" s="792"/>
      <c r="F18" s="792"/>
      <c r="G18" s="151"/>
      <c r="H18" s="151"/>
      <c r="I18" s="151"/>
      <c r="J18" s="151">
        <v>2000</v>
      </c>
      <c r="K18" s="151"/>
      <c r="L18" s="151"/>
      <c r="M18" s="151">
        <v>3000</v>
      </c>
      <c r="O18" s="337">
        <f t="shared" si="0"/>
        <v>1000</v>
      </c>
      <c r="P18" s="289">
        <f t="shared" si="1"/>
        <v>0.33333333333333331</v>
      </c>
    </row>
    <row r="19" spans="1:16" s="44" customFormat="1" ht="20.25" x14ac:dyDescent="0.2">
      <c r="A19" s="43"/>
      <c r="B19" s="43"/>
      <c r="C19" s="47" t="s">
        <v>364</v>
      </c>
      <c r="D19" s="47"/>
      <c r="E19" s="47"/>
      <c r="F19" s="43"/>
      <c r="G19" s="151">
        <v>1125</v>
      </c>
      <c r="H19" s="151">
        <v>6050</v>
      </c>
      <c r="I19" s="151"/>
      <c r="J19" s="151">
        <v>2000</v>
      </c>
      <c r="K19" s="151" t="e">
        <f>'February''25 State of Activities'!#REF!</f>
        <v>#REF!</v>
      </c>
      <c r="L19" s="151"/>
      <c r="M19" s="151" t="e">
        <f>'February''25 State of Activities'!#REF!</f>
        <v>#REF!</v>
      </c>
      <c r="O19" s="337" t="e">
        <f t="shared" si="0"/>
        <v>#REF!</v>
      </c>
      <c r="P19" s="289"/>
    </row>
    <row r="20" spans="1:16" s="44" customFormat="1" ht="20.25" x14ac:dyDescent="0.2">
      <c r="A20" s="43"/>
      <c r="B20" s="43"/>
      <c r="C20" s="792" t="s">
        <v>322</v>
      </c>
      <c r="D20" s="792"/>
      <c r="E20" s="792"/>
      <c r="F20" s="792"/>
      <c r="G20" s="151"/>
      <c r="H20" s="151"/>
      <c r="I20" s="151"/>
      <c r="J20" s="151"/>
      <c r="K20" s="151">
        <v>659.25</v>
      </c>
      <c r="L20" s="151"/>
      <c r="M20" s="151"/>
      <c r="O20" s="337">
        <f>J20-M20</f>
        <v>0</v>
      </c>
      <c r="P20" s="289"/>
    </row>
    <row r="21" spans="1:16" s="44" customFormat="1" ht="21" thickBot="1" x14ac:dyDescent="0.25">
      <c r="A21" s="43"/>
      <c r="B21" s="43"/>
      <c r="C21" s="47" t="s">
        <v>210</v>
      </c>
      <c r="D21" s="47"/>
      <c r="E21" s="47"/>
      <c r="F21" s="43"/>
      <c r="G21" s="158">
        <v>31250</v>
      </c>
      <c r="H21" s="158">
        <v>15624.98</v>
      </c>
      <c r="I21" s="151"/>
      <c r="J21" s="158">
        <v>9315</v>
      </c>
      <c r="K21" s="158">
        <f>'February''25 State of Activities'!H26*0.2</f>
        <v>10548</v>
      </c>
      <c r="L21" s="151"/>
      <c r="M21" s="158">
        <v>9315</v>
      </c>
      <c r="O21" s="338">
        <f>J21-M21</f>
        <v>0</v>
      </c>
      <c r="P21" s="276">
        <v>0</v>
      </c>
    </row>
    <row r="22" spans="1:16" s="44" customFormat="1" ht="20.25" x14ac:dyDescent="0.2">
      <c r="A22" s="43"/>
      <c r="B22" s="43"/>
      <c r="C22" s="47"/>
      <c r="D22" s="43" t="s">
        <v>101</v>
      </c>
      <c r="E22" s="47"/>
      <c r="F22" s="43"/>
      <c r="G22" s="151">
        <v>1161224.25</v>
      </c>
      <c r="H22" s="151">
        <v>516293.30999999994</v>
      </c>
      <c r="I22" s="151"/>
      <c r="J22" s="151">
        <f>SUM(J9:J21)</f>
        <v>297814.95999999996</v>
      </c>
      <c r="K22" s="151" t="e">
        <f>SUM(K9:K21)</f>
        <v>#REF!</v>
      </c>
      <c r="L22" s="151"/>
      <c r="M22" s="151" t="e">
        <f>SUM(M9:M21)</f>
        <v>#REF!</v>
      </c>
      <c r="O22" s="182" t="e">
        <f>SUM(O9:O21)</f>
        <v>#REF!</v>
      </c>
      <c r="P22" s="289" t="e">
        <f>O22/M22</f>
        <v>#REF!</v>
      </c>
    </row>
    <row r="23" spans="1:16" s="44" customFormat="1" ht="21" thickBot="1" x14ac:dyDescent="0.25">
      <c r="A23" s="43"/>
      <c r="B23" s="43"/>
      <c r="C23" s="43" t="s">
        <v>211</v>
      </c>
      <c r="D23" s="47"/>
      <c r="E23" s="47"/>
      <c r="F23" s="43"/>
      <c r="G23" s="158">
        <v>150176</v>
      </c>
      <c r="H23" s="158">
        <v>47700.27</v>
      </c>
      <c r="I23" s="151"/>
      <c r="J23" s="151">
        <v>19000</v>
      </c>
      <c r="K23" s="151">
        <v>19000</v>
      </c>
      <c r="L23" s="151"/>
      <c r="M23" s="151">
        <v>19000</v>
      </c>
      <c r="O23" s="337">
        <f>J23-M23</f>
        <v>0</v>
      </c>
      <c r="P23" s="275">
        <f>O23/M23</f>
        <v>0</v>
      </c>
    </row>
    <row r="24" spans="1:16" s="44" customFormat="1" ht="21" thickBot="1" x14ac:dyDescent="0.25">
      <c r="A24" s="43"/>
      <c r="B24" s="43"/>
      <c r="C24" s="43" t="s">
        <v>212</v>
      </c>
      <c r="D24" s="47"/>
      <c r="E24" s="47"/>
      <c r="F24" s="43"/>
      <c r="G24" s="151"/>
      <c r="H24" s="151"/>
      <c r="I24" s="151"/>
      <c r="J24" s="158">
        <v>40000</v>
      </c>
      <c r="K24" s="158">
        <v>37641.19</v>
      </c>
      <c r="L24" s="151"/>
      <c r="M24" s="158">
        <v>38000</v>
      </c>
      <c r="O24" s="260">
        <f>M24-J24</f>
        <v>-2000</v>
      </c>
      <c r="P24" s="313">
        <f>O24/M24</f>
        <v>-5.2631578947368418E-2</v>
      </c>
    </row>
    <row r="25" spans="1:16" s="44" customFormat="1" ht="20.25" x14ac:dyDescent="0.2">
      <c r="A25" s="43"/>
      <c r="B25" s="43"/>
      <c r="C25" s="47"/>
      <c r="D25" s="43" t="s">
        <v>103</v>
      </c>
      <c r="E25" s="47"/>
      <c r="F25" s="43"/>
      <c r="G25" s="151">
        <v>1311400.25</v>
      </c>
      <c r="H25" s="151">
        <v>563993.57999999996</v>
      </c>
      <c r="I25" s="151"/>
      <c r="J25" s="151">
        <f>SUM(J22:J24)</f>
        <v>356814.95999999996</v>
      </c>
      <c r="K25" s="151" t="e">
        <f>SUM(K22:K24)</f>
        <v>#REF!</v>
      </c>
      <c r="L25" s="151"/>
      <c r="M25" s="151" t="e">
        <f>SUM(M22:M24)</f>
        <v>#REF!</v>
      </c>
      <c r="O25" s="182" t="e">
        <f>M25-J25</f>
        <v>#REF!</v>
      </c>
      <c r="P25" s="289" t="e">
        <f>O25/M25</f>
        <v>#REF!</v>
      </c>
    </row>
    <row r="26" spans="1:16" s="44" customFormat="1" ht="20.25" x14ac:dyDescent="0.2">
      <c r="A26" s="43"/>
      <c r="B26" s="43"/>
      <c r="C26" s="47"/>
      <c r="D26" s="43"/>
      <c r="E26" s="47"/>
      <c r="F26" s="43"/>
      <c r="G26" s="151"/>
      <c r="H26" s="151"/>
      <c r="I26" s="151"/>
      <c r="J26" s="151"/>
      <c r="K26" s="151"/>
      <c r="L26" s="151"/>
      <c r="M26" s="151"/>
    </row>
    <row r="27" spans="1:16" s="44" customFormat="1" ht="21" thickBot="1" x14ac:dyDescent="0.25">
      <c r="A27" s="43"/>
      <c r="B27" s="55" t="s">
        <v>107</v>
      </c>
      <c r="C27" s="55"/>
      <c r="D27" s="55"/>
      <c r="E27" s="55"/>
      <c r="F27" s="55"/>
      <c r="G27" s="158"/>
      <c r="J27" s="151"/>
    </row>
    <row r="28" spans="1:16" s="44" customFormat="1" ht="20.25" x14ac:dyDescent="0.2">
      <c r="A28" s="43"/>
      <c r="B28" s="43"/>
      <c r="C28" s="47" t="s">
        <v>213</v>
      </c>
      <c r="D28" s="47"/>
      <c r="E28" s="47"/>
      <c r="F28" s="47"/>
      <c r="G28" s="151">
        <v>733747.79999999993</v>
      </c>
      <c r="H28" s="182">
        <v>361976</v>
      </c>
      <c r="I28" s="182"/>
      <c r="J28" s="151"/>
      <c r="K28" s="182"/>
      <c r="L28" s="182"/>
      <c r="M28" s="182"/>
    </row>
    <row r="29" spans="1:16" s="44" customFormat="1" ht="20.25" x14ac:dyDescent="0.2">
      <c r="A29" s="43"/>
      <c r="B29" s="43"/>
      <c r="C29" s="47"/>
      <c r="D29" s="792" t="s">
        <v>214</v>
      </c>
      <c r="E29" s="792"/>
      <c r="F29" s="792"/>
      <c r="G29" s="151"/>
      <c r="H29" s="182"/>
      <c r="I29" s="182"/>
      <c r="J29" s="337">
        <f>110984.34+54648</f>
        <v>165632.34</v>
      </c>
      <c r="K29" s="337">
        <v>146508.01999999999</v>
      </c>
      <c r="L29" s="337"/>
      <c r="M29" s="337">
        <v>170000</v>
      </c>
      <c r="O29" s="337">
        <f t="shared" ref="O29:O47" si="2">M29-J29</f>
        <v>4367.6600000000035</v>
      </c>
      <c r="P29" s="289">
        <f>O29/M29</f>
        <v>2.5692117647058844E-2</v>
      </c>
    </row>
    <row r="30" spans="1:16" s="44" customFormat="1" ht="20.25" x14ac:dyDescent="0.2">
      <c r="A30" s="43"/>
      <c r="B30" s="43"/>
      <c r="C30" s="47"/>
      <c r="D30" s="792" t="s">
        <v>215</v>
      </c>
      <c r="E30" s="792"/>
      <c r="F30" s="792"/>
      <c r="G30" s="151"/>
      <c r="H30" s="182"/>
      <c r="I30" s="182"/>
      <c r="J30" s="337">
        <v>63684</v>
      </c>
      <c r="K30" s="337">
        <f>35778.69+23251.49+605.09+292.95</f>
        <v>59928.22</v>
      </c>
      <c r="L30" s="337"/>
      <c r="M30" s="337">
        <f>(22.5*(64*26+100))+(19.06*(50*26+100))</f>
        <v>66374</v>
      </c>
      <c r="O30" s="337">
        <f t="shared" si="2"/>
        <v>2690</v>
      </c>
      <c r="P30" s="289">
        <f>O30/M30</f>
        <v>4.0527917558079968E-2</v>
      </c>
    </row>
    <row r="31" spans="1:16" s="44" customFormat="1" ht="20.25" x14ac:dyDescent="0.2">
      <c r="A31" s="43"/>
      <c r="B31" s="43"/>
      <c r="C31" s="47"/>
      <c r="D31" s="792" t="s">
        <v>109</v>
      </c>
      <c r="E31" s="792"/>
      <c r="F31" s="792"/>
      <c r="G31" s="151"/>
      <c r="H31" s="182"/>
      <c r="I31" s="182"/>
      <c r="J31" s="337">
        <f>(J29+J30)*0.185</f>
        <v>42423.522899999996</v>
      </c>
      <c r="K31" s="337">
        <f>(K29+K30)*0.192</f>
        <v>39635.75808</v>
      </c>
      <c r="L31" s="337"/>
      <c r="M31" s="337">
        <f>(M29+M30)*0.185</f>
        <v>43729.19</v>
      </c>
      <c r="O31" s="337">
        <f t="shared" si="2"/>
        <v>1305.667100000006</v>
      </c>
      <c r="P31" s="289">
        <f>O31/M31</f>
        <v>2.9858021609821858E-2</v>
      </c>
    </row>
    <row r="32" spans="1:16" s="44" customFormat="1" ht="20.25" x14ac:dyDescent="0.2">
      <c r="A32" s="43"/>
      <c r="B32" s="43"/>
      <c r="C32" s="47" t="s">
        <v>268</v>
      </c>
      <c r="D32" s="47"/>
      <c r="E32" s="47"/>
      <c r="F32" s="47"/>
      <c r="G32" s="151">
        <v>44745.18</v>
      </c>
      <c r="H32" s="151">
        <v>20974.21</v>
      </c>
      <c r="I32" s="151"/>
      <c r="J32" s="337"/>
      <c r="K32" s="468"/>
      <c r="L32" s="337"/>
      <c r="M32" s="337"/>
      <c r="O32" s="337">
        <f t="shared" si="2"/>
        <v>0</v>
      </c>
      <c r="P32" s="289"/>
    </row>
    <row r="33" spans="1:16" s="44" customFormat="1" ht="20.25" x14ac:dyDescent="0.2">
      <c r="A33" s="43"/>
      <c r="B33" s="43"/>
      <c r="C33" s="47"/>
      <c r="D33" s="792" t="s">
        <v>216</v>
      </c>
      <c r="E33" s="792"/>
      <c r="F33" s="792"/>
      <c r="G33" s="151"/>
      <c r="H33" s="151"/>
      <c r="I33" s="151"/>
      <c r="J33" s="337">
        <f>17368.36/8*12</f>
        <v>26052.54</v>
      </c>
      <c r="K33" s="337">
        <v>27183.82</v>
      </c>
      <c r="L33" s="337"/>
      <c r="M33" s="337">
        <v>27500</v>
      </c>
      <c r="O33" s="337">
        <f t="shared" si="2"/>
        <v>1447.4599999999991</v>
      </c>
      <c r="P33" s="289">
        <f t="shared" ref="P33:P40" si="3">O33/M33</f>
        <v>5.2634909090909059E-2</v>
      </c>
    </row>
    <row r="34" spans="1:16" s="44" customFormat="1" ht="20.25" x14ac:dyDescent="0.2">
      <c r="A34" s="43"/>
      <c r="B34" s="43"/>
      <c r="C34" s="47"/>
      <c r="D34" s="792" t="s">
        <v>217</v>
      </c>
      <c r="E34" s="792"/>
      <c r="F34" s="792"/>
      <c r="G34" s="151"/>
      <c r="H34" s="151"/>
      <c r="I34" s="151"/>
      <c r="J34" s="337">
        <f>12089.81/8*12+800-400</f>
        <v>18534.715</v>
      </c>
      <c r="K34" s="337">
        <v>15510.83</v>
      </c>
      <c r="L34" s="337"/>
      <c r="M34" s="337">
        <v>19374</v>
      </c>
      <c r="O34" s="337">
        <f t="shared" si="2"/>
        <v>839.28499999999985</v>
      </c>
      <c r="P34" s="289">
        <f t="shared" si="3"/>
        <v>4.3320171363683282E-2</v>
      </c>
    </row>
    <row r="35" spans="1:16" s="44" customFormat="1" ht="20.25" x14ac:dyDescent="0.2">
      <c r="A35" s="43"/>
      <c r="B35" s="43"/>
      <c r="C35" s="47"/>
      <c r="D35" s="792" t="s">
        <v>293</v>
      </c>
      <c r="E35" s="792"/>
      <c r="F35" s="792"/>
      <c r="G35" s="151"/>
      <c r="H35" s="151"/>
      <c r="I35" s="151"/>
      <c r="J35" s="337">
        <f>10143.6/8*12</f>
        <v>15215.400000000001</v>
      </c>
      <c r="K35" s="337">
        <v>12450.36</v>
      </c>
      <c r="L35" s="337"/>
      <c r="M35" s="337">
        <v>15000</v>
      </c>
      <c r="O35" s="337">
        <f t="shared" si="2"/>
        <v>-215.40000000000146</v>
      </c>
      <c r="P35" s="289">
        <f t="shared" si="3"/>
        <v>-1.4360000000000097E-2</v>
      </c>
    </row>
    <row r="36" spans="1:16" s="44" customFormat="1" ht="20.25" x14ac:dyDescent="0.2">
      <c r="A36" s="43"/>
      <c r="B36" s="43"/>
      <c r="C36" s="47"/>
      <c r="D36" s="792" t="s">
        <v>218</v>
      </c>
      <c r="E36" s="792"/>
      <c r="F36" s="792"/>
      <c r="G36" s="151"/>
      <c r="H36" s="151"/>
      <c r="I36" s="151"/>
      <c r="J36" s="337">
        <v>513.5</v>
      </c>
      <c r="K36" s="337">
        <v>377</v>
      </c>
      <c r="L36" s="337"/>
      <c r="M36" s="337">
        <v>250</v>
      </c>
      <c r="O36" s="337">
        <f t="shared" si="2"/>
        <v>-263.5</v>
      </c>
      <c r="P36" s="289">
        <f t="shared" si="3"/>
        <v>-1.054</v>
      </c>
    </row>
    <row r="37" spans="1:16" s="44" customFormat="1" ht="20.25" x14ac:dyDescent="0.2">
      <c r="A37" s="43"/>
      <c r="B37" s="43"/>
      <c r="C37" s="47" t="s">
        <v>219</v>
      </c>
      <c r="D37" s="47"/>
      <c r="E37" s="47"/>
      <c r="F37" s="47"/>
      <c r="G37" s="151">
        <v>27200</v>
      </c>
      <c r="H37" s="151">
        <v>11327</v>
      </c>
      <c r="I37" s="151"/>
      <c r="J37" s="337">
        <f>22772+1411</f>
        <v>24183</v>
      </c>
      <c r="K37" s="337">
        <v>25080</v>
      </c>
      <c r="L37" s="337"/>
      <c r="M37" s="337">
        <f>20430+6774</f>
        <v>27204</v>
      </c>
      <c r="O37" s="337">
        <f t="shared" si="2"/>
        <v>3021</v>
      </c>
      <c r="P37" s="289">
        <f t="shared" si="3"/>
        <v>0.11104984561093957</v>
      </c>
    </row>
    <row r="38" spans="1:16" s="44" customFormat="1" ht="20.25" x14ac:dyDescent="0.2">
      <c r="A38" s="43"/>
      <c r="B38" s="43"/>
      <c r="C38" s="47" t="s">
        <v>100</v>
      </c>
      <c r="D38" s="47"/>
      <c r="E38" s="47"/>
      <c r="F38" s="47"/>
      <c r="G38" s="151">
        <v>150176</v>
      </c>
      <c r="H38" s="182">
        <v>47700.27</v>
      </c>
      <c r="I38" s="182"/>
      <c r="J38" s="337">
        <f>J21</f>
        <v>9315</v>
      </c>
      <c r="K38" s="337">
        <f>K21</f>
        <v>10548</v>
      </c>
      <c r="L38" s="337"/>
      <c r="M38" s="337">
        <f>M21</f>
        <v>9315</v>
      </c>
      <c r="O38" s="337">
        <f t="shared" si="2"/>
        <v>0</v>
      </c>
      <c r="P38" s="289">
        <f t="shared" si="3"/>
        <v>0</v>
      </c>
    </row>
    <row r="39" spans="1:16" s="44" customFormat="1" ht="20.25" x14ac:dyDescent="0.2">
      <c r="A39" s="43"/>
      <c r="B39" s="43"/>
      <c r="C39" s="47" t="s">
        <v>301</v>
      </c>
      <c r="D39" s="47"/>
      <c r="E39" s="47"/>
      <c r="F39" s="47"/>
      <c r="G39" s="151"/>
      <c r="H39" s="182"/>
      <c r="I39" s="182"/>
      <c r="J39" s="337">
        <f>2845+(332.08+24.92)*4</f>
        <v>4273</v>
      </c>
      <c r="K39" s="337">
        <v>4075</v>
      </c>
      <c r="L39" s="337"/>
      <c r="M39" s="337">
        <f>360*12</f>
        <v>4320</v>
      </c>
      <c r="O39" s="337">
        <f t="shared" si="2"/>
        <v>47</v>
      </c>
      <c r="P39" s="289">
        <f t="shared" si="3"/>
        <v>1.087962962962963E-2</v>
      </c>
    </row>
    <row r="40" spans="1:16" s="44" customFormat="1" ht="20.25" x14ac:dyDescent="0.2">
      <c r="A40" s="43"/>
      <c r="B40" s="43"/>
      <c r="C40" s="47" t="s">
        <v>220</v>
      </c>
      <c r="D40" s="47"/>
      <c r="E40" s="47"/>
      <c r="F40" s="47"/>
      <c r="G40" s="151"/>
      <c r="H40" s="182"/>
      <c r="I40" s="182"/>
      <c r="J40" s="337">
        <f>393+75</f>
        <v>468</v>
      </c>
      <c r="K40" s="337">
        <v>1496.32</v>
      </c>
      <c r="L40" s="337"/>
      <c r="M40" s="337">
        <v>500</v>
      </c>
      <c r="O40" s="337">
        <f t="shared" si="2"/>
        <v>32</v>
      </c>
      <c r="P40" s="289">
        <f t="shared" si="3"/>
        <v>6.4000000000000001E-2</v>
      </c>
    </row>
    <row r="41" spans="1:16" s="44" customFormat="1" ht="20.25" x14ac:dyDescent="0.2">
      <c r="A41" s="43"/>
      <c r="B41" s="43"/>
      <c r="C41" s="47" t="s">
        <v>365</v>
      </c>
      <c r="D41" s="47"/>
      <c r="E41" s="47"/>
      <c r="F41" s="47"/>
      <c r="G41" s="151">
        <v>10993.12</v>
      </c>
      <c r="H41" s="182">
        <v>4904.57</v>
      </c>
      <c r="I41" s="182"/>
      <c r="J41" s="337">
        <f>2414+307*4</f>
        <v>3642</v>
      </c>
      <c r="K41" s="337">
        <v>3429.9</v>
      </c>
      <c r="L41" s="337"/>
      <c r="M41" s="337">
        <f>307*12</f>
        <v>3684</v>
      </c>
      <c r="O41" s="337">
        <f t="shared" si="2"/>
        <v>42</v>
      </c>
      <c r="P41" s="289">
        <f>O41/M41</f>
        <v>1.1400651465798045E-2</v>
      </c>
    </row>
    <row r="42" spans="1:16" s="44" customFormat="1" ht="20.25" x14ac:dyDescent="0.2">
      <c r="A42" s="43"/>
      <c r="B42" s="43"/>
      <c r="C42" s="47" t="s">
        <v>221</v>
      </c>
      <c r="D42" s="47"/>
      <c r="E42" s="47"/>
      <c r="F42" s="47"/>
      <c r="G42" s="151">
        <v>10250.949999999999</v>
      </c>
      <c r="H42" s="182">
        <v>3982.99</v>
      </c>
      <c r="I42" s="182"/>
      <c r="J42" s="337">
        <v>600</v>
      </c>
      <c r="K42" s="337">
        <f>56.6+402.81</f>
        <v>459.41</v>
      </c>
      <c r="L42" s="337"/>
      <c r="M42" s="337">
        <v>600</v>
      </c>
      <c r="O42" s="337">
        <f t="shared" si="2"/>
        <v>0</v>
      </c>
      <c r="P42" s="289">
        <f>O42/M42</f>
        <v>0</v>
      </c>
    </row>
    <row r="43" spans="1:16" s="44" customFormat="1" ht="20.25" x14ac:dyDescent="0.2">
      <c r="A43" s="43"/>
      <c r="B43" s="43"/>
      <c r="C43" s="47" t="s">
        <v>118</v>
      </c>
      <c r="D43" s="47"/>
      <c r="E43" s="47"/>
      <c r="F43" s="47"/>
      <c r="G43" s="151">
        <v>4412.53</v>
      </c>
      <c r="H43" s="183">
        <v>5667</v>
      </c>
      <c r="I43" s="183"/>
      <c r="J43" s="337">
        <f>122.96+1237.38+391.65</f>
        <v>1751.9900000000002</v>
      </c>
      <c r="K43" s="337">
        <v>1040.8800000000001</v>
      </c>
      <c r="L43" s="469"/>
      <c r="M43" s="469">
        <f>394*4</f>
        <v>1576</v>
      </c>
      <c r="O43" s="337">
        <f t="shared" si="2"/>
        <v>-175.99000000000024</v>
      </c>
      <c r="P43" s="289">
        <f>O43/M43</f>
        <v>-0.11166878172588847</v>
      </c>
    </row>
    <row r="44" spans="1:16" s="44" customFormat="1" ht="20.25" x14ac:dyDescent="0.2">
      <c r="A44" s="43"/>
      <c r="B44" s="43"/>
      <c r="C44" s="47" t="s">
        <v>116</v>
      </c>
      <c r="D44" s="47"/>
      <c r="E44" s="47"/>
      <c r="F44" s="47"/>
      <c r="G44" s="151">
        <v>7901</v>
      </c>
      <c r="H44" s="182">
        <v>4149.6000000000004</v>
      </c>
      <c r="I44" s="182"/>
      <c r="J44" s="337">
        <f>367.55/8*12</f>
        <v>551.32500000000005</v>
      </c>
      <c r="K44" s="337">
        <v>436.35</v>
      </c>
      <c r="L44" s="337"/>
      <c r="M44" s="337">
        <v>600</v>
      </c>
      <c r="O44" s="337">
        <f t="shared" si="2"/>
        <v>48.674999999999955</v>
      </c>
      <c r="P44" s="289">
        <f>O44/M44</f>
        <v>8.1124999999999919E-2</v>
      </c>
    </row>
    <row r="45" spans="1:16" s="44" customFormat="1" ht="20.25" hidden="1" x14ac:dyDescent="0.2">
      <c r="A45" s="43"/>
      <c r="B45" s="43"/>
      <c r="C45" s="47" t="s">
        <v>222</v>
      </c>
      <c r="D45" s="47"/>
      <c r="E45" s="47"/>
      <c r="F45" s="47"/>
      <c r="G45" s="151"/>
      <c r="H45" s="182"/>
      <c r="I45" s="182"/>
      <c r="J45" s="337"/>
      <c r="K45" s="337"/>
      <c r="L45" s="337"/>
      <c r="M45" s="337">
        <v>0</v>
      </c>
      <c r="O45" s="337">
        <f t="shared" si="2"/>
        <v>0</v>
      </c>
      <c r="P45" s="289"/>
    </row>
    <row r="46" spans="1:16" s="44" customFormat="1" ht="20.25" x14ac:dyDescent="0.2">
      <c r="A46" s="47"/>
      <c r="B46" s="47"/>
      <c r="C46" s="47" t="s">
        <v>112</v>
      </c>
      <c r="D46" s="47"/>
      <c r="E46" s="47"/>
      <c r="F46" s="47"/>
      <c r="G46" s="151">
        <v>5428.37</v>
      </c>
      <c r="H46" s="182">
        <v>2024.52</v>
      </c>
      <c r="I46" s="182"/>
      <c r="J46" s="337">
        <f>208.6/8*12</f>
        <v>312.89999999999998</v>
      </c>
      <c r="K46" s="337">
        <v>205.44</v>
      </c>
      <c r="L46" s="337"/>
      <c r="M46" s="337">
        <v>320</v>
      </c>
      <c r="O46" s="337">
        <f t="shared" si="2"/>
        <v>7.1000000000000227</v>
      </c>
      <c r="P46" s="289">
        <f>O46/M46</f>
        <v>2.2187500000000072E-2</v>
      </c>
    </row>
    <row r="47" spans="1:16" s="44" customFormat="1" ht="20.25" x14ac:dyDescent="0.2">
      <c r="A47" s="47"/>
      <c r="B47" s="47"/>
      <c r="C47" s="47" t="s">
        <v>223</v>
      </c>
      <c r="D47" s="47"/>
      <c r="E47" s="47"/>
      <c r="F47" s="47"/>
      <c r="G47" s="151">
        <v>83462.91</v>
      </c>
      <c r="H47" s="151">
        <v>18995.71</v>
      </c>
      <c r="I47" s="151"/>
      <c r="J47" s="340">
        <v>200</v>
      </c>
      <c r="K47" s="340">
        <f>201.52+30+216.21+94.56</f>
        <v>542.29</v>
      </c>
      <c r="L47" s="337"/>
      <c r="M47" s="337">
        <v>225</v>
      </c>
      <c r="O47" s="337">
        <f t="shared" si="2"/>
        <v>25</v>
      </c>
      <c r="P47" s="339">
        <f>O47/M47</f>
        <v>0.1111111111111111</v>
      </c>
    </row>
    <row r="48" spans="1:16" s="44" customFormat="1" ht="21" thickBot="1" x14ac:dyDescent="0.25">
      <c r="A48" s="43"/>
      <c r="B48" s="43"/>
      <c r="C48" s="43"/>
      <c r="D48" s="43" t="s">
        <v>124</v>
      </c>
      <c r="E48" s="43"/>
      <c r="F48" s="43"/>
      <c r="G48" s="158">
        <v>1078317.8599999999</v>
      </c>
      <c r="H48" s="158">
        <v>481701.87000000005</v>
      </c>
      <c r="I48" s="151"/>
      <c r="J48" s="315">
        <f>SUM(J29:J47)</f>
        <v>377353.23290000006</v>
      </c>
      <c r="K48" s="315">
        <f>SUM(K29:K47)</f>
        <v>348907.59807999997</v>
      </c>
      <c r="L48" s="151"/>
      <c r="M48" s="315">
        <f>SUM(M29:M47)</f>
        <v>390571.19</v>
      </c>
      <c r="O48" s="315">
        <f>J48-M48</f>
        <v>-13217.957099999941</v>
      </c>
      <c r="P48" s="313">
        <f>O48/M48</f>
        <v>-3.384263212040791E-2</v>
      </c>
    </row>
    <row r="49" spans="1:16" s="44" customFormat="1" ht="21" thickBot="1" x14ac:dyDescent="0.25">
      <c r="A49" s="43"/>
      <c r="B49" s="43"/>
      <c r="C49" s="43"/>
      <c r="D49" s="43" t="s">
        <v>125</v>
      </c>
      <c r="E49" s="43"/>
      <c r="F49" s="43"/>
      <c r="G49" s="158">
        <v>233082.39000000013</v>
      </c>
      <c r="H49" s="158">
        <v>82291.709999999905</v>
      </c>
      <c r="I49" s="151"/>
      <c r="J49" s="316">
        <f>J25-J48</f>
        <v>-20538.272900000098</v>
      </c>
      <c r="K49" s="316" t="e">
        <f>K25-K48</f>
        <v>#REF!</v>
      </c>
      <c r="L49" s="151"/>
      <c r="M49" s="316" t="e">
        <f>M25-M48</f>
        <v>#REF!</v>
      </c>
      <c r="O49" s="260" t="e">
        <f>M49-J49</f>
        <v>#REF!</v>
      </c>
      <c r="P49" s="313" t="e">
        <f>O49/M49</f>
        <v>#REF!</v>
      </c>
    </row>
    <row r="50" spans="1:16" s="44" customFormat="1" ht="20.25" x14ac:dyDescent="0.2">
      <c r="A50" s="43"/>
      <c r="B50" s="43"/>
      <c r="C50" s="43"/>
      <c r="D50" s="43"/>
      <c r="E50" s="43"/>
      <c r="F50" s="43"/>
      <c r="G50" s="151"/>
      <c r="H50" s="151"/>
      <c r="I50" s="151"/>
      <c r="J50" s="151"/>
      <c r="K50" s="151"/>
      <c r="L50" s="151"/>
      <c r="M50" s="151"/>
    </row>
    <row r="51" spans="1:16" s="41" customFormat="1" ht="26.25" x14ac:dyDescent="0.2">
      <c r="A51" s="176"/>
      <c r="B51" s="176"/>
      <c r="C51" s="47" t="s">
        <v>258</v>
      </c>
      <c r="E51" s="47"/>
      <c r="F51" s="47"/>
      <c r="G51" s="178"/>
      <c r="H51" s="151"/>
      <c r="I51" s="151"/>
      <c r="J51" s="151">
        <f>-23415.22-24000</f>
        <v>-47415.22</v>
      </c>
      <c r="K51" s="151">
        <v>-44886</v>
      </c>
      <c r="L51" s="151"/>
      <c r="M51" s="151"/>
      <c r="O51" s="182">
        <f>M51-J51</f>
        <v>47415.22</v>
      </c>
      <c r="P51" s="275"/>
    </row>
    <row r="52" spans="1:16" s="44" customFormat="1" ht="20.25" x14ac:dyDescent="0.2">
      <c r="A52" s="43"/>
      <c r="B52" s="43"/>
      <c r="C52" s="47" t="s">
        <v>224</v>
      </c>
      <c r="E52" s="43"/>
      <c r="G52" s="151"/>
      <c r="H52" s="151"/>
      <c r="I52" s="151"/>
      <c r="J52" s="151">
        <f>J37</f>
        <v>24183</v>
      </c>
      <c r="K52" s="151">
        <f>K37</f>
        <v>25080</v>
      </c>
      <c r="L52" s="151"/>
      <c r="M52" s="151">
        <f>M37</f>
        <v>27204</v>
      </c>
      <c r="O52" s="182">
        <f>M52-J52</f>
        <v>3021</v>
      </c>
      <c r="P52" s="275">
        <v>3.5414486921529216E-2</v>
      </c>
    </row>
    <row r="53" spans="1:16" s="44" customFormat="1" ht="24" thickBot="1" x14ac:dyDescent="0.25">
      <c r="A53" s="43"/>
      <c r="B53" s="179"/>
      <c r="C53" s="43"/>
      <c r="D53" s="795" t="s">
        <v>225</v>
      </c>
      <c r="E53" s="795"/>
      <c r="F53" s="795"/>
      <c r="G53" s="151"/>
      <c r="H53" s="151"/>
      <c r="I53" s="151"/>
      <c r="J53" s="317">
        <f>J49+J51+J52</f>
        <v>-43770.492900000099</v>
      </c>
      <c r="K53" s="317" t="e">
        <f>K49+K51+K52</f>
        <v>#REF!</v>
      </c>
      <c r="L53" s="160"/>
      <c r="M53" s="317" t="e">
        <f>M49+M51+M52</f>
        <v>#REF!</v>
      </c>
      <c r="N53" s="262"/>
      <c r="O53" s="314" t="e">
        <f>M53-J53</f>
        <v>#REF!</v>
      </c>
      <c r="P53" s="336">
        <v>2.1062768618503362E-2</v>
      </c>
    </row>
  </sheetData>
  <mergeCells count="12">
    <mergeCell ref="D53:F53"/>
    <mergeCell ref="D30:F30"/>
    <mergeCell ref="D31:F31"/>
    <mergeCell ref="D33:F33"/>
    <mergeCell ref="D34:F34"/>
    <mergeCell ref="D35:F35"/>
    <mergeCell ref="D36:F36"/>
    <mergeCell ref="J6:M6"/>
    <mergeCell ref="O8:P8"/>
    <mergeCell ref="C18:F18"/>
    <mergeCell ref="C20:F20"/>
    <mergeCell ref="D29:F29"/>
  </mergeCells>
  <pageMargins left="0.2" right="0.2" top="0.75" bottom="0.5" header="0.3" footer="0.3"/>
  <pageSetup scale="62"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55"/>
  <sheetViews>
    <sheetView workbookViewId="0">
      <selection activeCell="L22" sqref="L22"/>
    </sheetView>
  </sheetViews>
  <sheetFormatPr defaultRowHeight="14.25" x14ac:dyDescent="0.2"/>
  <cols>
    <col min="1" max="1" width="2.875" customWidth="1"/>
    <col min="2" max="2" width="8.125" customWidth="1"/>
    <col min="3" max="3" width="8.75" customWidth="1"/>
    <col min="4" max="4" width="5.75" customWidth="1"/>
    <col min="5" max="5" width="2.875" customWidth="1"/>
    <col min="6" max="6" width="44.625" customWidth="1"/>
    <col min="7" max="7" width="23" customWidth="1"/>
  </cols>
  <sheetData>
    <row r="1" spans="1:7" ht="26.25" x14ac:dyDescent="0.4">
      <c r="A1" s="35" t="s">
        <v>90</v>
      </c>
      <c r="B1" s="36"/>
      <c r="C1" s="37"/>
      <c r="D1" s="37"/>
      <c r="E1" s="37"/>
      <c r="F1" s="36"/>
      <c r="G1" s="149"/>
    </row>
    <row r="2" spans="1:7" ht="26.25" x14ac:dyDescent="0.4">
      <c r="A2" s="35" t="s">
        <v>256</v>
      </c>
      <c r="B2" s="36"/>
      <c r="C2" s="37"/>
      <c r="D2" s="37"/>
      <c r="E2" s="37"/>
      <c r="F2" s="36"/>
      <c r="G2" s="149"/>
    </row>
    <row r="3" spans="1:7" ht="26.25" x14ac:dyDescent="0.4">
      <c r="A3" s="35" t="s">
        <v>304</v>
      </c>
      <c r="B3" s="36"/>
      <c r="C3" s="37"/>
      <c r="D3" s="37"/>
      <c r="E3" s="37"/>
      <c r="F3" s="36"/>
      <c r="G3" s="149"/>
    </row>
    <row r="4" spans="1:7" ht="21" thickBot="1" x14ac:dyDescent="0.25">
      <c r="A4" s="38"/>
      <c r="B4" s="38"/>
      <c r="C4" s="38"/>
      <c r="D4" s="38"/>
      <c r="E4" s="38"/>
      <c r="F4" s="38"/>
      <c r="G4" s="150"/>
    </row>
    <row r="5" spans="1:7" ht="27.75" thickTop="1" thickBot="1" x14ac:dyDescent="0.25">
      <c r="A5" s="40"/>
      <c r="B5" s="40"/>
      <c r="C5" s="40"/>
      <c r="D5" s="40"/>
      <c r="E5" s="40"/>
      <c r="F5" s="40"/>
      <c r="G5" s="269" t="s">
        <v>46</v>
      </c>
    </row>
    <row r="6" spans="1:7" ht="21" thickTop="1" x14ac:dyDescent="0.2">
      <c r="A6" s="43"/>
      <c r="B6" s="43"/>
      <c r="C6" s="43"/>
      <c r="D6" s="43"/>
      <c r="E6" s="43"/>
      <c r="F6" s="43"/>
      <c r="G6" s="151"/>
    </row>
    <row r="7" spans="1:7" ht="21" thickBot="1" x14ac:dyDescent="0.35">
      <c r="A7" s="45"/>
      <c r="B7" s="98" t="s">
        <v>96</v>
      </c>
      <c r="C7" s="98"/>
      <c r="D7" s="98"/>
      <c r="E7" s="98"/>
      <c r="F7" s="98"/>
      <c r="G7" s="187"/>
    </row>
    <row r="8" spans="1:7" ht="20.25" x14ac:dyDescent="0.2">
      <c r="A8" s="43"/>
      <c r="B8" s="43"/>
      <c r="C8" s="47" t="s">
        <v>97</v>
      </c>
      <c r="D8" s="47"/>
      <c r="E8" s="47"/>
      <c r="F8" s="43"/>
      <c r="G8" s="160">
        <v>791718</v>
      </c>
    </row>
    <row r="9" spans="1:7" ht="20.25" x14ac:dyDescent="0.2">
      <c r="A9" s="43"/>
      <c r="B9" s="43"/>
      <c r="C9" s="47" t="s">
        <v>305</v>
      </c>
      <c r="D9" s="47"/>
      <c r="E9" s="47"/>
      <c r="F9" s="43"/>
      <c r="G9" s="151">
        <v>25000</v>
      </c>
    </row>
    <row r="10" spans="1:7" ht="20.25" x14ac:dyDescent="0.2">
      <c r="A10" s="43"/>
      <c r="B10" s="43"/>
      <c r="C10" s="47" t="s">
        <v>146</v>
      </c>
      <c r="D10" s="47"/>
      <c r="E10" s="47"/>
      <c r="F10" s="43"/>
      <c r="G10" s="151">
        <v>147000</v>
      </c>
    </row>
    <row r="11" spans="1:7" ht="20.25" x14ac:dyDescent="0.2">
      <c r="A11" s="43"/>
      <c r="B11" s="43"/>
      <c r="C11" s="47" t="s">
        <v>174</v>
      </c>
      <c r="D11" s="47"/>
      <c r="E11" s="47"/>
      <c r="F11" s="43"/>
      <c r="G11" s="151">
        <v>43322</v>
      </c>
    </row>
    <row r="12" spans="1:7" ht="20.25" x14ac:dyDescent="0.2">
      <c r="A12" s="43"/>
      <c r="B12" s="43"/>
      <c r="C12" s="47" t="s">
        <v>98</v>
      </c>
      <c r="D12" s="47"/>
      <c r="E12" s="47"/>
      <c r="F12" s="43"/>
      <c r="G12" s="151"/>
    </row>
    <row r="13" spans="1:7" ht="20.25" x14ac:dyDescent="0.2">
      <c r="A13" s="43"/>
      <c r="B13" s="43"/>
      <c r="C13" s="44"/>
      <c r="D13" s="47" t="s">
        <v>135</v>
      </c>
      <c r="E13" s="47"/>
      <c r="F13" s="43"/>
      <c r="G13" s="151">
        <f>43500+158022</f>
        <v>201522</v>
      </c>
    </row>
    <row r="14" spans="1:7" ht="20.25" x14ac:dyDescent="0.2">
      <c r="A14" s="43"/>
      <c r="B14" s="43"/>
      <c r="C14" s="44"/>
      <c r="D14" s="47" t="s">
        <v>154</v>
      </c>
      <c r="E14" s="47"/>
      <c r="F14" s="43"/>
      <c r="G14" s="151">
        <v>13000</v>
      </c>
    </row>
    <row r="15" spans="1:7" ht="20.25" x14ac:dyDescent="0.2">
      <c r="A15" s="43"/>
      <c r="B15" s="43"/>
      <c r="C15" s="47" t="s">
        <v>99</v>
      </c>
      <c r="D15" s="47"/>
      <c r="E15" s="47"/>
      <c r="F15" s="43"/>
      <c r="G15" s="151">
        <v>12500</v>
      </c>
    </row>
    <row r="16" spans="1:7" ht="20.25" x14ac:dyDescent="0.2">
      <c r="A16" s="43"/>
      <c r="B16" s="43"/>
      <c r="C16" s="47" t="s">
        <v>106</v>
      </c>
      <c r="D16" s="47"/>
      <c r="E16" s="47"/>
      <c r="F16" s="43"/>
      <c r="G16" s="151">
        <v>1200</v>
      </c>
    </row>
    <row r="17" spans="2:7" ht="20.25" x14ac:dyDescent="0.2">
      <c r="B17" s="43"/>
      <c r="C17" s="47" t="s">
        <v>230</v>
      </c>
      <c r="D17" s="47"/>
      <c r="E17" s="47"/>
      <c r="F17" s="43"/>
      <c r="G17" s="151">
        <v>4200</v>
      </c>
    </row>
    <row r="18" spans="2:7" ht="20.25" x14ac:dyDescent="0.2">
      <c r="B18" s="43"/>
      <c r="C18" s="47" t="s">
        <v>307</v>
      </c>
      <c r="D18" s="47"/>
      <c r="E18" s="47"/>
      <c r="F18" s="43"/>
      <c r="G18" s="151">
        <v>1500</v>
      </c>
    </row>
    <row r="19" spans="2:7" ht="20.25" x14ac:dyDescent="0.2">
      <c r="B19" s="43"/>
      <c r="C19" s="47" t="s">
        <v>231</v>
      </c>
      <c r="D19" s="47"/>
      <c r="E19" s="47"/>
      <c r="F19" s="43"/>
      <c r="G19" s="151"/>
    </row>
    <row r="20" spans="2:7" ht="20.25" x14ac:dyDescent="0.2">
      <c r="B20" s="43"/>
      <c r="C20" s="47"/>
      <c r="D20" s="47" t="s">
        <v>10</v>
      </c>
      <c r="E20" s="47"/>
      <c r="F20" s="43"/>
      <c r="G20" s="151">
        <f>73338-45000</f>
        <v>28338</v>
      </c>
    </row>
    <row r="21" spans="2:7" ht="20.25" x14ac:dyDescent="0.2">
      <c r="B21" s="43"/>
      <c r="C21" s="47"/>
      <c r="D21" s="47" t="s">
        <v>15</v>
      </c>
      <c r="E21" s="47"/>
      <c r="F21" s="43"/>
      <c r="G21" s="151">
        <v>45000</v>
      </c>
    </row>
    <row r="22" spans="2:7" ht="20.25" x14ac:dyDescent="0.2">
      <c r="B22" s="43"/>
      <c r="C22" s="47" t="s">
        <v>309</v>
      </c>
      <c r="D22" s="47"/>
      <c r="E22" s="47"/>
      <c r="F22" s="43"/>
      <c r="G22" s="151">
        <v>2500</v>
      </c>
    </row>
    <row r="23" spans="2:7" ht="20.25" x14ac:dyDescent="0.2">
      <c r="B23" s="43"/>
      <c r="C23" s="47" t="s">
        <v>105</v>
      </c>
      <c r="D23" s="47"/>
      <c r="E23" s="47"/>
      <c r="F23" s="43"/>
      <c r="G23" s="151">
        <v>46575</v>
      </c>
    </row>
    <row r="24" spans="2:7" ht="20.25" x14ac:dyDescent="0.2">
      <c r="B24" s="43"/>
      <c r="C24" s="47" t="s">
        <v>310</v>
      </c>
      <c r="D24" s="47"/>
      <c r="E24" s="47"/>
      <c r="F24" s="43"/>
      <c r="G24" s="151">
        <v>1531</v>
      </c>
    </row>
    <row r="25" spans="2:7" ht="20.25" x14ac:dyDescent="0.2">
      <c r="B25" s="43"/>
      <c r="C25" s="47" t="s">
        <v>98</v>
      </c>
      <c r="D25" s="47"/>
      <c r="E25" s="47"/>
      <c r="F25" s="43"/>
      <c r="G25" s="151">
        <v>19000</v>
      </c>
    </row>
    <row r="26" spans="2:7" ht="20.25" x14ac:dyDescent="0.2">
      <c r="B26" s="43"/>
      <c r="C26" s="47" t="s">
        <v>306</v>
      </c>
      <c r="D26" s="47"/>
      <c r="E26" s="47"/>
      <c r="F26" s="43"/>
      <c r="G26" s="151">
        <v>51000</v>
      </c>
    </row>
    <row r="27" spans="2:7" ht="20.25" x14ac:dyDescent="0.2">
      <c r="B27" s="43"/>
      <c r="C27" s="47" t="s">
        <v>308</v>
      </c>
      <c r="D27" s="47"/>
      <c r="E27" s="47"/>
      <c r="F27" s="43"/>
      <c r="G27" s="151">
        <v>20655</v>
      </c>
    </row>
    <row r="28" spans="2:7" ht="20.25" x14ac:dyDescent="0.2">
      <c r="B28" s="43"/>
      <c r="C28" s="47"/>
      <c r="D28" s="43" t="s">
        <v>101</v>
      </c>
      <c r="E28" s="47"/>
      <c r="F28" s="43"/>
      <c r="G28" s="159">
        <f>SUM(G8:G27)</f>
        <v>1455561</v>
      </c>
    </row>
    <row r="29" spans="2:7" ht="20.25" x14ac:dyDescent="0.2">
      <c r="B29" s="43"/>
      <c r="C29" s="47"/>
      <c r="D29" s="43"/>
      <c r="E29" s="47"/>
      <c r="F29" s="43"/>
      <c r="G29" s="151"/>
    </row>
    <row r="30" spans="2:7" ht="21" thickBot="1" x14ac:dyDescent="0.25">
      <c r="B30" s="55" t="s">
        <v>107</v>
      </c>
      <c r="C30" s="55"/>
      <c r="D30" s="55"/>
      <c r="E30" s="55"/>
      <c r="F30" s="55"/>
      <c r="G30" s="158"/>
    </row>
    <row r="31" spans="2:7" ht="20.25" x14ac:dyDescent="0.2">
      <c r="B31" s="43"/>
      <c r="C31" s="47" t="s">
        <v>108</v>
      </c>
      <c r="D31" s="47"/>
      <c r="E31" s="47"/>
      <c r="F31" s="47"/>
      <c r="G31" s="151">
        <v>889720</v>
      </c>
    </row>
    <row r="32" spans="2:7" ht="20.25" x14ac:dyDescent="0.2">
      <c r="B32" s="43"/>
      <c r="C32" s="47" t="s">
        <v>109</v>
      </c>
      <c r="D32" s="47"/>
      <c r="E32" s="47"/>
      <c r="F32" s="47"/>
      <c r="G32" s="151">
        <v>192602</v>
      </c>
    </row>
    <row r="33" spans="2:7" ht="20.25" x14ac:dyDescent="0.2">
      <c r="B33" s="43"/>
      <c r="C33" s="47" t="s">
        <v>110</v>
      </c>
      <c r="D33" s="47"/>
      <c r="E33" s="47"/>
      <c r="F33" s="47"/>
      <c r="G33" s="151">
        <v>3600</v>
      </c>
    </row>
    <row r="34" spans="2:7" ht="20.25" x14ac:dyDescent="0.2">
      <c r="B34" s="43"/>
      <c r="C34" s="47" t="s">
        <v>100</v>
      </c>
      <c r="D34" s="47"/>
      <c r="E34" s="47"/>
      <c r="F34" s="47"/>
      <c r="G34" s="151">
        <f>G23</f>
        <v>46575</v>
      </c>
    </row>
    <row r="35" spans="2:7" ht="20.25" x14ac:dyDescent="0.2">
      <c r="B35" s="43"/>
      <c r="C35" s="47" t="s">
        <v>111</v>
      </c>
      <c r="D35" s="47"/>
      <c r="E35" s="47"/>
      <c r="F35" s="47"/>
      <c r="G35" s="151">
        <v>17595</v>
      </c>
    </row>
    <row r="36" spans="2:7" ht="20.25" x14ac:dyDescent="0.2">
      <c r="B36" s="43"/>
      <c r="C36" s="47" t="s">
        <v>112</v>
      </c>
      <c r="D36" s="47"/>
      <c r="E36" s="47"/>
      <c r="F36" s="47"/>
      <c r="G36" s="151">
        <v>2821</v>
      </c>
    </row>
    <row r="37" spans="2:7" ht="20.25" x14ac:dyDescent="0.2">
      <c r="B37" s="43"/>
      <c r="C37" s="47" t="s">
        <v>113</v>
      </c>
      <c r="D37" s="47"/>
      <c r="E37" s="47"/>
      <c r="F37" s="47"/>
      <c r="G37" s="151">
        <v>5032</v>
      </c>
    </row>
    <row r="38" spans="2:7" ht="20.25" x14ac:dyDescent="0.2">
      <c r="B38" s="43"/>
      <c r="C38" s="47" t="s">
        <v>114</v>
      </c>
      <c r="D38" s="47"/>
      <c r="E38" s="47"/>
      <c r="F38" s="47"/>
      <c r="G38" s="151">
        <v>12216</v>
      </c>
    </row>
    <row r="39" spans="2:7" ht="20.25" x14ac:dyDescent="0.2">
      <c r="B39" s="43"/>
      <c r="C39" s="47" t="s">
        <v>115</v>
      </c>
      <c r="D39" s="47"/>
      <c r="E39" s="47"/>
      <c r="F39" s="47"/>
      <c r="G39" s="151">
        <v>39500</v>
      </c>
    </row>
    <row r="40" spans="2:7" ht="20.25" x14ac:dyDescent="0.2">
      <c r="B40" s="43"/>
      <c r="C40" s="47" t="s">
        <v>116</v>
      </c>
      <c r="D40" s="47"/>
      <c r="E40" s="47"/>
      <c r="F40" s="47"/>
      <c r="G40" s="151">
        <v>4840</v>
      </c>
    </row>
    <row r="41" spans="2:7" ht="20.25" x14ac:dyDescent="0.2">
      <c r="B41" s="43"/>
      <c r="C41" s="47" t="s">
        <v>117</v>
      </c>
      <c r="D41" s="47"/>
      <c r="E41" s="47"/>
      <c r="F41" s="47"/>
      <c r="G41" s="151">
        <v>1735</v>
      </c>
    </row>
    <row r="42" spans="2:7" ht="20.25" x14ac:dyDescent="0.2">
      <c r="B42" s="43"/>
      <c r="C42" s="47" t="s">
        <v>161</v>
      </c>
      <c r="D42" s="47"/>
      <c r="E42" s="47"/>
      <c r="F42" s="47"/>
      <c r="G42" s="151">
        <v>12125</v>
      </c>
    </row>
    <row r="43" spans="2:7" ht="20.25" x14ac:dyDescent="0.2">
      <c r="B43" s="47"/>
      <c r="C43" s="47" t="s">
        <v>118</v>
      </c>
      <c r="D43" s="47"/>
      <c r="E43" s="47"/>
      <c r="F43" s="47"/>
      <c r="G43" s="151">
        <v>12252</v>
      </c>
    </row>
    <row r="44" spans="2:7" ht="20.25" x14ac:dyDescent="0.2">
      <c r="B44" s="47"/>
      <c r="C44" s="47" t="s">
        <v>119</v>
      </c>
      <c r="D44" s="47"/>
      <c r="E44" s="47"/>
      <c r="F44" s="47"/>
      <c r="G44" s="151">
        <v>13564</v>
      </c>
    </row>
    <row r="45" spans="2:7" ht="20.25" x14ac:dyDescent="0.2">
      <c r="B45" s="47"/>
      <c r="C45" s="47" t="s">
        <v>126</v>
      </c>
      <c r="D45" s="47"/>
      <c r="E45" s="47"/>
      <c r="F45" s="47"/>
      <c r="G45" s="151">
        <v>875</v>
      </c>
    </row>
    <row r="46" spans="2:7" ht="20.25" x14ac:dyDescent="0.2">
      <c r="B46" s="47"/>
      <c r="C46" s="47" t="s">
        <v>120</v>
      </c>
      <c r="D46" s="47"/>
      <c r="E46" s="47"/>
      <c r="F46" s="47"/>
      <c r="G46" s="151">
        <f>10039+1500</f>
        <v>11539</v>
      </c>
    </row>
    <row r="47" spans="2:7" ht="20.25" x14ac:dyDescent="0.2">
      <c r="B47" s="43"/>
      <c r="C47" s="47" t="s">
        <v>193</v>
      </c>
      <c r="D47" s="47"/>
      <c r="E47" s="47"/>
      <c r="F47" s="47"/>
      <c r="G47" s="151">
        <f>12623+2660</f>
        <v>15283</v>
      </c>
    </row>
    <row r="48" spans="2:7" ht="20.25" x14ac:dyDescent="0.2">
      <c r="B48" s="47"/>
      <c r="C48" s="47" t="s">
        <v>121</v>
      </c>
      <c r="D48" s="47"/>
      <c r="E48" s="47"/>
      <c r="F48" s="47"/>
      <c r="G48" s="151">
        <v>39977</v>
      </c>
    </row>
    <row r="49" spans="2:7" ht="20.25" x14ac:dyDescent="0.2">
      <c r="B49" s="47"/>
      <c r="C49" s="47" t="s">
        <v>122</v>
      </c>
      <c r="D49" s="47"/>
      <c r="E49" s="47"/>
      <c r="F49" s="47"/>
      <c r="G49" s="151">
        <v>19556</v>
      </c>
    </row>
    <row r="50" spans="2:7" ht="20.25" x14ac:dyDescent="0.2">
      <c r="B50" s="47"/>
      <c r="C50" s="47" t="s">
        <v>160</v>
      </c>
      <c r="D50" s="47"/>
      <c r="E50" s="47"/>
      <c r="F50" s="47"/>
      <c r="G50" s="151">
        <v>56100</v>
      </c>
    </row>
    <row r="51" spans="2:7" ht="20.25" x14ac:dyDescent="0.2">
      <c r="B51" s="47"/>
      <c r="C51" s="47" t="s">
        <v>123</v>
      </c>
      <c r="D51" s="47"/>
      <c r="E51" s="47"/>
      <c r="F51" s="47"/>
      <c r="G51" s="151">
        <f>750+86095</f>
        <v>86845</v>
      </c>
    </row>
    <row r="52" spans="2:7" ht="21" thickBot="1" x14ac:dyDescent="0.25">
      <c r="B52" s="47"/>
      <c r="C52" s="47"/>
      <c r="D52" s="47"/>
      <c r="E52" s="47"/>
      <c r="F52" s="47"/>
      <c r="G52" s="158"/>
    </row>
    <row r="53" spans="2:7" ht="20.25" x14ac:dyDescent="0.2">
      <c r="B53" s="43"/>
      <c r="C53" s="43"/>
      <c r="D53" s="43" t="s">
        <v>124</v>
      </c>
      <c r="E53" s="43"/>
      <c r="F53" s="43"/>
      <c r="G53" s="154">
        <f>SUM(G31:G51)</f>
        <v>1484352</v>
      </c>
    </row>
    <row r="54" spans="2:7" ht="21" thickBot="1" x14ac:dyDescent="0.25">
      <c r="B54" s="43"/>
      <c r="C54" s="43"/>
      <c r="D54" s="43"/>
      <c r="E54" s="43"/>
      <c r="F54" s="43"/>
      <c r="G54" s="158"/>
    </row>
    <row r="55" spans="2:7" ht="21" thickBot="1" x14ac:dyDescent="0.25">
      <c r="B55" s="43"/>
      <c r="C55" s="43"/>
      <c r="D55" s="43" t="s">
        <v>125</v>
      </c>
      <c r="E55" s="43"/>
      <c r="F55" s="43"/>
      <c r="G55" s="158">
        <f>G28-G53</f>
        <v>-28791</v>
      </c>
    </row>
  </sheetData>
  <pageMargins left="1.2" right="0" top="0.5" bottom="0.5" header="0.3" footer="0.3"/>
  <pageSetup scale="65" orientation="portrait"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69"/>
  <sheetViews>
    <sheetView workbookViewId="0"/>
  </sheetViews>
  <sheetFormatPr defaultRowHeight="14.25" x14ac:dyDescent="0.2"/>
  <cols>
    <col min="1" max="1" width="19.5" style="3" customWidth="1"/>
    <col min="2" max="2" width="15.25" style="3" hidden="1" customWidth="1"/>
    <col min="3" max="3" width="15.125" style="213" hidden="1" customWidth="1"/>
    <col min="4" max="7" width="15" customWidth="1"/>
    <col min="8" max="8" width="14.625" customWidth="1"/>
  </cols>
  <sheetData>
    <row r="1" spans="1:8" ht="21" x14ac:dyDescent="0.35">
      <c r="A1" s="401" t="s">
        <v>90</v>
      </c>
      <c r="B1" s="36"/>
      <c r="C1" s="37"/>
      <c r="D1" s="37"/>
      <c r="E1" s="37"/>
      <c r="F1" s="36"/>
      <c r="G1" s="149"/>
      <c r="H1" s="36"/>
    </row>
    <row r="2" spans="1:8" ht="21" x14ac:dyDescent="0.35">
      <c r="A2" s="401" t="s">
        <v>289</v>
      </c>
      <c r="B2" s="36"/>
      <c r="C2" s="37"/>
      <c r="D2" s="37"/>
      <c r="E2" s="37"/>
      <c r="F2" s="36"/>
      <c r="G2" s="149"/>
      <c r="H2" s="36"/>
    </row>
    <row r="3" spans="1:8" ht="21" x14ac:dyDescent="0.35">
      <c r="A3" s="401" t="str">
        <f>'February''25 State of Activities'!A3</f>
        <v>Two Months Ended February 28, 2025 and February 29, 2024</v>
      </c>
      <c r="B3" s="36"/>
      <c r="C3" s="37"/>
      <c r="D3" s="37"/>
      <c r="E3" s="37"/>
      <c r="F3" s="36"/>
      <c r="G3" s="149"/>
      <c r="H3" s="36"/>
    </row>
    <row r="4" spans="1:8" ht="15" thickBot="1" x14ac:dyDescent="0.25"/>
    <row r="5" spans="1:8" ht="21.75" thickBot="1" x14ac:dyDescent="0.4">
      <c r="A5" s="865" t="s">
        <v>269</v>
      </c>
      <c r="B5" s="866"/>
      <c r="C5" s="866"/>
      <c r="D5" s="866"/>
      <c r="E5" s="866"/>
      <c r="F5" s="866"/>
      <c r="G5" s="866"/>
      <c r="H5" s="867"/>
    </row>
    <row r="6" spans="1:8" ht="7.5" customHeight="1" thickBot="1" x14ac:dyDescent="0.25">
      <c r="E6" s="19"/>
      <c r="F6" s="19"/>
      <c r="G6" s="19"/>
    </row>
    <row r="7" spans="1:8" ht="15.75" x14ac:dyDescent="0.25">
      <c r="A7" s="371" t="s">
        <v>270</v>
      </c>
      <c r="B7" s="372" t="s">
        <v>271</v>
      </c>
      <c r="C7" s="372" t="s">
        <v>272</v>
      </c>
      <c r="D7" s="372" t="s">
        <v>273</v>
      </c>
      <c r="E7" s="372" t="s">
        <v>274</v>
      </c>
      <c r="F7" s="372" t="s">
        <v>275</v>
      </c>
      <c r="G7" s="372" t="s">
        <v>276</v>
      </c>
      <c r="H7" s="371" t="s">
        <v>277</v>
      </c>
    </row>
    <row r="8" spans="1:8" ht="16.5" thickBot="1" x14ac:dyDescent="0.3">
      <c r="A8" s="373"/>
      <c r="B8" s="374" t="s">
        <v>278</v>
      </c>
      <c r="C8" s="374" t="s">
        <v>278</v>
      </c>
      <c r="D8" s="374" t="s">
        <v>278</v>
      </c>
      <c r="E8" s="374" t="s">
        <v>278</v>
      </c>
      <c r="F8" s="374" t="s">
        <v>278</v>
      </c>
      <c r="G8" s="374" t="s">
        <v>278</v>
      </c>
      <c r="H8" s="375" t="s">
        <v>279</v>
      </c>
    </row>
    <row r="9" spans="1:8" x14ac:dyDescent="0.2">
      <c r="A9" s="376">
        <v>42741</v>
      </c>
      <c r="B9" s="377">
        <v>1059.72</v>
      </c>
      <c r="C9" s="378">
        <f>6123.86-3246.88</f>
        <v>2876.9799999999996</v>
      </c>
      <c r="D9" s="377">
        <f>160.4+1401.46</f>
        <v>1561.8600000000001</v>
      </c>
      <c r="E9" s="377">
        <f>2007.36+883.16</f>
        <v>2890.52</v>
      </c>
      <c r="F9" s="377">
        <v>4174.08</v>
      </c>
      <c r="G9" s="377">
        <v>3187.95</v>
      </c>
      <c r="H9" s="377">
        <f>G9-F9</f>
        <v>-986.13000000000011</v>
      </c>
    </row>
    <row r="10" spans="1:8" x14ac:dyDescent="0.2">
      <c r="A10" s="379">
        <v>42748</v>
      </c>
      <c r="B10" s="380">
        <v>1351.72</v>
      </c>
      <c r="C10" s="377">
        <f>7232.22-3246.88</f>
        <v>3985.34</v>
      </c>
      <c r="D10" s="380">
        <v>3927.82</v>
      </c>
      <c r="E10" s="380">
        <v>3364.16</v>
      </c>
      <c r="F10" s="377">
        <v>4643.2299999999996</v>
      </c>
      <c r="G10" s="377">
        <v>3858.57</v>
      </c>
      <c r="H10" s="377">
        <f t="shared" ref="H10:H21" si="0">G10-F10</f>
        <v>-784.6599999999994</v>
      </c>
    </row>
    <row r="11" spans="1:8" x14ac:dyDescent="0.2">
      <c r="A11" s="379">
        <v>42755</v>
      </c>
      <c r="B11" s="380">
        <v>1237.58</v>
      </c>
      <c r="C11" s="380">
        <f>5493.18-2496.78</f>
        <v>2996.4</v>
      </c>
      <c r="D11" s="380">
        <v>3463.28</v>
      </c>
      <c r="E11" s="380">
        <v>3723.22</v>
      </c>
      <c r="F11" s="377">
        <v>3257.98</v>
      </c>
      <c r="G11" s="377">
        <v>2816.13</v>
      </c>
      <c r="H11" s="377">
        <f t="shared" si="0"/>
        <v>-441.84999999999991</v>
      </c>
    </row>
    <row r="12" spans="1:8" x14ac:dyDescent="0.2">
      <c r="A12" s="379">
        <v>42762</v>
      </c>
      <c r="B12" s="380">
        <v>1829.66</v>
      </c>
      <c r="C12" s="380">
        <f>6125.18-2535</f>
        <v>3590.1800000000003</v>
      </c>
      <c r="D12" s="380">
        <v>2947.54</v>
      </c>
      <c r="E12" s="380">
        <v>3026.63</v>
      </c>
      <c r="F12" s="377">
        <v>3503.82</v>
      </c>
      <c r="G12" s="377">
        <v>2957.14</v>
      </c>
      <c r="H12" s="377">
        <f t="shared" si="0"/>
        <v>-546.68000000000029</v>
      </c>
    </row>
    <row r="13" spans="1:8" x14ac:dyDescent="0.2">
      <c r="A13" s="379">
        <v>42769</v>
      </c>
      <c r="B13" s="380">
        <v>2363.12</v>
      </c>
      <c r="C13" s="380">
        <f>-3488.68+8424.94</f>
        <v>4936.26</v>
      </c>
      <c r="D13" s="380">
        <v>3434.46</v>
      </c>
      <c r="E13" s="380">
        <v>2986.58</v>
      </c>
      <c r="F13" s="377">
        <v>4063.43</v>
      </c>
      <c r="G13" s="377">
        <v>3878.62</v>
      </c>
      <c r="H13" s="377">
        <f t="shared" si="0"/>
        <v>-184.80999999999995</v>
      </c>
    </row>
    <row r="14" spans="1:8" x14ac:dyDescent="0.2">
      <c r="A14" s="379">
        <v>42776</v>
      </c>
      <c r="B14" s="380">
        <v>1902.16</v>
      </c>
      <c r="C14" s="380">
        <f>-2931.5+7254.06</f>
        <v>4322.5600000000004</v>
      </c>
      <c r="D14" s="380">
        <v>2818.82</v>
      </c>
      <c r="E14" s="380">
        <f>2800.67</f>
        <v>2800.67</v>
      </c>
      <c r="F14" s="377">
        <v>4002.46</v>
      </c>
      <c r="G14" s="377">
        <v>2987.96</v>
      </c>
      <c r="H14" s="377">
        <f t="shared" si="0"/>
        <v>-1014.5</v>
      </c>
    </row>
    <row r="15" spans="1:8" x14ac:dyDescent="0.2">
      <c r="A15" s="379">
        <v>42783</v>
      </c>
      <c r="B15" s="380">
        <v>2134.56</v>
      </c>
      <c r="C15" s="380">
        <f>-3653.28+8329.5-700</f>
        <v>3976.2199999999993</v>
      </c>
      <c r="D15" s="380">
        <v>2157.96</v>
      </c>
      <c r="E15" s="380">
        <v>2584.04</v>
      </c>
      <c r="F15" s="377">
        <v>2886.61</v>
      </c>
      <c r="G15" s="377">
        <v>3373.08</v>
      </c>
      <c r="H15" s="377">
        <f t="shared" si="0"/>
        <v>486.4699999999998</v>
      </c>
    </row>
    <row r="16" spans="1:8" x14ac:dyDescent="0.2">
      <c r="A16" s="379">
        <v>42790</v>
      </c>
      <c r="B16" s="380">
        <v>1676.08</v>
      </c>
      <c r="C16" s="380">
        <f>-2869.88+6693.6</f>
        <v>3823.7200000000003</v>
      </c>
      <c r="D16" s="380">
        <v>3063.52</v>
      </c>
      <c r="E16" s="380">
        <v>3161.19</v>
      </c>
      <c r="F16" s="377">
        <v>3994.7</v>
      </c>
      <c r="G16" s="377">
        <v>3335.8</v>
      </c>
      <c r="H16" s="377">
        <f t="shared" si="0"/>
        <v>-658.89999999999964</v>
      </c>
    </row>
    <row r="17" spans="1:8" x14ac:dyDescent="0.2">
      <c r="A17" s="379">
        <v>42797</v>
      </c>
      <c r="B17" s="380">
        <v>1418.9</v>
      </c>
      <c r="C17" s="380">
        <f>-3427.32+8141.08</f>
        <v>4713.76</v>
      </c>
      <c r="D17" s="380">
        <v>4534.3</v>
      </c>
      <c r="E17" s="380">
        <v>3860.23</v>
      </c>
      <c r="F17" s="377">
        <v>4172.5600000000004</v>
      </c>
      <c r="G17" s="377">
        <v>2335.96</v>
      </c>
      <c r="H17" s="377">
        <f t="shared" si="0"/>
        <v>-1836.6000000000004</v>
      </c>
    </row>
    <row r="18" spans="1:8" x14ac:dyDescent="0.2">
      <c r="A18" s="379">
        <v>42804</v>
      </c>
      <c r="B18" s="380">
        <v>1013.74</v>
      </c>
      <c r="C18" s="380">
        <f>-2919.8+6449.26</f>
        <v>3529.46</v>
      </c>
      <c r="D18" s="380">
        <v>3673.88</v>
      </c>
      <c r="E18" s="380">
        <v>4004</v>
      </c>
      <c r="F18" s="377">
        <v>3762.8</v>
      </c>
      <c r="G18" s="377">
        <v>1711.94</v>
      </c>
      <c r="H18" s="377">
        <f t="shared" si="0"/>
        <v>-2050.86</v>
      </c>
    </row>
    <row r="19" spans="1:8" x14ac:dyDescent="0.2">
      <c r="A19" s="379">
        <v>42811</v>
      </c>
      <c r="B19" s="381">
        <v>3629.96</v>
      </c>
      <c r="C19" s="380">
        <f>-3708.38+7621.78</f>
        <v>3913.3999999999996</v>
      </c>
      <c r="D19" s="380">
        <v>4030.4</v>
      </c>
      <c r="E19" s="380">
        <v>3222.03</v>
      </c>
      <c r="F19" s="377">
        <v>4340.3</v>
      </c>
      <c r="G19" s="377">
        <v>942.16</v>
      </c>
      <c r="H19" s="377">
        <f t="shared" si="0"/>
        <v>-3398.1400000000003</v>
      </c>
    </row>
    <row r="20" spans="1:8" x14ac:dyDescent="0.2">
      <c r="A20" s="379">
        <v>42818</v>
      </c>
      <c r="B20" s="381">
        <v>3364</v>
      </c>
      <c r="C20" s="380">
        <f>-3726.84+7846.28</f>
        <v>4119.4399999999996</v>
      </c>
      <c r="D20" s="380">
        <v>3975.2</v>
      </c>
      <c r="E20" s="380">
        <v>3684.17</v>
      </c>
      <c r="F20" s="377">
        <v>3849.95</v>
      </c>
      <c r="G20" s="377">
        <v>1706.08</v>
      </c>
      <c r="H20" s="377">
        <f t="shared" si="0"/>
        <v>-2143.87</v>
      </c>
    </row>
    <row r="21" spans="1:8" ht="15" thickBot="1" x14ac:dyDescent="0.25">
      <c r="A21" s="379">
        <v>42825</v>
      </c>
      <c r="B21" s="381">
        <v>3587</v>
      </c>
      <c r="C21" s="380">
        <f>-3329.82+7562.9</f>
        <v>4233.08</v>
      </c>
      <c r="D21" s="380">
        <v>4280.8</v>
      </c>
      <c r="E21" s="381">
        <v>4118.96</v>
      </c>
      <c r="F21" s="382">
        <v>4082.74</v>
      </c>
      <c r="G21" s="382">
        <v>2002.52</v>
      </c>
      <c r="H21" s="377">
        <f t="shared" si="0"/>
        <v>-2080.2199999999998</v>
      </c>
    </row>
    <row r="22" spans="1:8" ht="16.5" thickBot="1" x14ac:dyDescent="0.25">
      <c r="A22" s="383" t="s">
        <v>280</v>
      </c>
      <c r="B22" s="384">
        <f t="shared" ref="B22:H22" si="1">SUM(B9:B21)</f>
        <v>26568.2</v>
      </c>
      <c r="C22" s="384">
        <f t="shared" si="1"/>
        <v>51016.80000000001</v>
      </c>
      <c r="D22" s="384">
        <f t="shared" si="1"/>
        <v>43869.84</v>
      </c>
      <c r="E22" s="384">
        <f t="shared" si="1"/>
        <v>43426.399999999994</v>
      </c>
      <c r="F22" s="384">
        <f t="shared" si="1"/>
        <v>50734.659999999996</v>
      </c>
      <c r="G22" s="384">
        <f t="shared" si="1"/>
        <v>35093.909999999989</v>
      </c>
      <c r="H22" s="384">
        <f t="shared" si="1"/>
        <v>-15640.749999999998</v>
      </c>
    </row>
    <row r="23" spans="1:8" x14ac:dyDescent="0.2">
      <c r="A23" s="385">
        <v>42832</v>
      </c>
      <c r="B23" s="380">
        <v>3525.02</v>
      </c>
      <c r="C23" s="377">
        <v>4517.8999999999996</v>
      </c>
      <c r="D23" s="377">
        <v>4162.12</v>
      </c>
      <c r="E23" s="377">
        <v>4043.7</v>
      </c>
      <c r="F23" s="377">
        <v>3768.69</v>
      </c>
      <c r="G23" s="377">
        <v>2018.44</v>
      </c>
      <c r="H23" s="377">
        <f>G23-F23</f>
        <v>-1750.25</v>
      </c>
    </row>
    <row r="24" spans="1:8" x14ac:dyDescent="0.2">
      <c r="A24" s="385">
        <v>42839</v>
      </c>
      <c r="B24" s="380">
        <v>3842.84</v>
      </c>
      <c r="C24" s="377">
        <v>4554.42</v>
      </c>
      <c r="D24" s="380">
        <v>4616</v>
      </c>
      <c r="E24" s="380">
        <v>4136.18</v>
      </c>
      <c r="F24" s="377">
        <v>4345.16</v>
      </c>
      <c r="G24" s="377">
        <v>5284.52</v>
      </c>
      <c r="H24" s="377">
        <f t="shared" ref="H24:H63" si="2">G24-F24</f>
        <v>939.36000000000058</v>
      </c>
    </row>
    <row r="25" spans="1:8" x14ac:dyDescent="0.2">
      <c r="A25" s="385">
        <v>42846</v>
      </c>
      <c r="B25" s="380">
        <v>5337.82</v>
      </c>
      <c r="C25" s="380">
        <v>4041.14</v>
      </c>
      <c r="D25" s="380">
        <v>3729.1</v>
      </c>
      <c r="E25" s="380">
        <v>4132.83</v>
      </c>
      <c r="F25" s="377">
        <v>4267.46</v>
      </c>
      <c r="G25" s="377">
        <v>4715.9799999999996</v>
      </c>
      <c r="H25" s="377">
        <f t="shared" si="2"/>
        <v>448.51999999999953</v>
      </c>
    </row>
    <row r="26" spans="1:8" x14ac:dyDescent="0.2">
      <c r="A26" s="385">
        <v>42853</v>
      </c>
      <c r="B26" s="380">
        <v>4973.68</v>
      </c>
      <c r="C26" s="380">
        <v>4321.8599999999997</v>
      </c>
      <c r="D26" s="380">
        <v>3706.08</v>
      </c>
      <c r="E26" s="380">
        <v>4536.74</v>
      </c>
      <c r="F26" s="377">
        <v>3953.61</v>
      </c>
      <c r="G26" s="377">
        <v>4499.7</v>
      </c>
      <c r="H26" s="377">
        <f t="shared" si="2"/>
        <v>546.08999999999969</v>
      </c>
    </row>
    <row r="27" spans="1:8" x14ac:dyDescent="0.2">
      <c r="A27" s="385">
        <v>42860</v>
      </c>
      <c r="B27" s="380">
        <v>3187.22</v>
      </c>
      <c r="C27" s="380">
        <v>4732.8999999999996</v>
      </c>
      <c r="D27" s="380">
        <v>3421.72</v>
      </c>
      <c r="E27" s="380">
        <f>3478.64+72+758.56</f>
        <v>4309.2</v>
      </c>
      <c r="F27" s="377">
        <v>4192.32</v>
      </c>
      <c r="G27" s="377">
        <v>4204.16</v>
      </c>
      <c r="H27" s="377">
        <f t="shared" si="2"/>
        <v>11.840000000000146</v>
      </c>
    </row>
    <row r="28" spans="1:8" x14ac:dyDescent="0.2">
      <c r="A28" s="385">
        <v>42867</v>
      </c>
      <c r="B28" s="380">
        <v>2237.2399999999998</v>
      </c>
      <c r="C28" s="380">
        <v>4138.8999999999996</v>
      </c>
      <c r="D28" s="380">
        <v>3907.94</v>
      </c>
      <c r="E28" s="380">
        <f>4050.94+212.76</f>
        <v>4263.7</v>
      </c>
      <c r="F28" s="377">
        <v>4361.47</v>
      </c>
      <c r="G28" s="377">
        <v>4571.82</v>
      </c>
      <c r="H28" s="377">
        <f t="shared" si="2"/>
        <v>210.34999999999945</v>
      </c>
    </row>
    <row r="29" spans="1:8" x14ac:dyDescent="0.2">
      <c r="A29" s="385">
        <v>42874</v>
      </c>
      <c r="B29" s="380">
        <v>3446.22</v>
      </c>
      <c r="C29" s="380">
        <v>5447.82</v>
      </c>
      <c r="D29" s="380">
        <f>3359.74+70.28</f>
        <v>3430.02</v>
      </c>
      <c r="E29" s="380">
        <v>3958.56</v>
      </c>
      <c r="F29" s="377">
        <v>3957.78</v>
      </c>
      <c r="G29" s="377">
        <v>4089.18</v>
      </c>
      <c r="H29" s="377">
        <f t="shared" si="2"/>
        <v>131.39999999999964</v>
      </c>
    </row>
    <row r="30" spans="1:8" x14ac:dyDescent="0.2">
      <c r="A30" s="385">
        <v>42881</v>
      </c>
      <c r="B30" s="380">
        <v>3507.94</v>
      </c>
      <c r="C30" s="380">
        <v>4315.03</v>
      </c>
      <c r="D30" s="380">
        <v>3880.8</v>
      </c>
      <c r="E30" s="380">
        <v>4314.9799999999996</v>
      </c>
      <c r="F30" s="377">
        <v>3634.01</v>
      </c>
      <c r="G30" s="377">
        <v>3993.63</v>
      </c>
      <c r="H30" s="377">
        <f t="shared" si="2"/>
        <v>359.61999999999989</v>
      </c>
    </row>
    <row r="31" spans="1:8" x14ac:dyDescent="0.2">
      <c r="A31" s="385">
        <v>42888</v>
      </c>
      <c r="B31" s="380">
        <v>3609.72</v>
      </c>
      <c r="C31" s="380">
        <v>3053.8</v>
      </c>
      <c r="D31" s="380">
        <v>2686.82</v>
      </c>
      <c r="E31" s="380">
        <v>2987.04</v>
      </c>
      <c r="F31" s="377">
        <v>2684.24</v>
      </c>
      <c r="G31" s="377">
        <v>2384.3200000000002</v>
      </c>
      <c r="H31" s="377">
        <f t="shared" si="2"/>
        <v>-299.91999999999962</v>
      </c>
    </row>
    <row r="32" spans="1:8" x14ac:dyDescent="0.2">
      <c r="A32" s="385">
        <v>42895</v>
      </c>
      <c r="B32" s="380">
        <v>2033.76</v>
      </c>
      <c r="C32" s="380">
        <v>4194.8599999999997</v>
      </c>
      <c r="D32" s="380">
        <v>3006.14</v>
      </c>
      <c r="E32" s="380">
        <v>3675.8</v>
      </c>
      <c r="F32" s="377">
        <v>3674.42</v>
      </c>
      <c r="G32" s="377">
        <v>3297.66</v>
      </c>
      <c r="H32" s="377">
        <f t="shared" si="2"/>
        <v>-376.76000000000022</v>
      </c>
    </row>
    <row r="33" spans="1:8" x14ac:dyDescent="0.2">
      <c r="A33" s="385">
        <v>42902</v>
      </c>
      <c r="B33" s="380">
        <v>2786.98</v>
      </c>
      <c r="C33" s="380">
        <v>3980.08</v>
      </c>
      <c r="D33" s="380">
        <v>3579.53</v>
      </c>
      <c r="E33" s="380">
        <v>4147.8999999999996</v>
      </c>
      <c r="F33" s="377">
        <v>4182.5200000000004</v>
      </c>
      <c r="G33" s="377">
        <v>3252.16</v>
      </c>
      <c r="H33" s="377">
        <f t="shared" si="2"/>
        <v>-930.36000000000058</v>
      </c>
    </row>
    <row r="34" spans="1:8" x14ac:dyDescent="0.2">
      <c r="A34" s="385">
        <v>42909</v>
      </c>
      <c r="B34" s="381">
        <v>2436.9</v>
      </c>
      <c r="C34" s="380">
        <v>4001.26</v>
      </c>
      <c r="D34" s="380">
        <v>3401.21</v>
      </c>
      <c r="E34" s="380">
        <v>3774.82</v>
      </c>
      <c r="F34" s="377">
        <v>3596.56</v>
      </c>
      <c r="G34" s="377">
        <v>3139.68</v>
      </c>
      <c r="H34" s="377">
        <f t="shared" si="2"/>
        <v>-456.88000000000011</v>
      </c>
    </row>
    <row r="35" spans="1:8" ht="15" thickBot="1" x14ac:dyDescent="0.25">
      <c r="A35" s="385">
        <v>42916</v>
      </c>
      <c r="B35" s="381">
        <v>2410.56</v>
      </c>
      <c r="C35" s="380">
        <v>3928.74</v>
      </c>
      <c r="D35" s="381">
        <v>3288.01</v>
      </c>
      <c r="E35" s="381">
        <v>3466.07</v>
      </c>
      <c r="F35" s="382">
        <v>3867.92</v>
      </c>
      <c r="G35" s="382">
        <v>3368.72</v>
      </c>
      <c r="H35" s="377">
        <f t="shared" si="2"/>
        <v>-499.20000000000027</v>
      </c>
    </row>
    <row r="36" spans="1:8" ht="16.5" thickBot="1" x14ac:dyDescent="0.25">
      <c r="A36" s="383" t="s">
        <v>281</v>
      </c>
      <c r="B36" s="384">
        <f t="shared" ref="B36:H36" si="3">SUM(B23:B35)</f>
        <v>43335.9</v>
      </c>
      <c r="C36" s="384">
        <f t="shared" si="3"/>
        <v>55228.710000000006</v>
      </c>
      <c r="D36" s="384">
        <f t="shared" si="3"/>
        <v>46815.49</v>
      </c>
      <c r="E36" s="384">
        <f t="shared" si="3"/>
        <v>51747.520000000004</v>
      </c>
      <c r="F36" s="384">
        <f t="shared" si="3"/>
        <v>50486.159999999989</v>
      </c>
      <c r="G36" s="384">
        <f t="shared" si="3"/>
        <v>48819.970000000008</v>
      </c>
      <c r="H36" s="384">
        <f t="shared" si="3"/>
        <v>-1666.1900000000019</v>
      </c>
    </row>
    <row r="37" spans="1:8" x14ac:dyDescent="0.2">
      <c r="A37" s="385">
        <v>42923</v>
      </c>
      <c r="B37" s="377">
        <f>899.92+2410.56</f>
        <v>3310.48</v>
      </c>
      <c r="C37" s="377">
        <v>3059.59</v>
      </c>
      <c r="D37" s="377">
        <f>952.56+2445.69</f>
        <v>3398.25</v>
      </c>
      <c r="E37" s="377">
        <f>1313.52+1315.48</f>
        <v>2629</v>
      </c>
      <c r="F37" s="377">
        <v>3092.18</v>
      </c>
      <c r="G37" s="377">
        <v>2501.6799999999998</v>
      </c>
      <c r="H37" s="377">
        <f t="shared" si="2"/>
        <v>-590.5</v>
      </c>
    </row>
    <row r="38" spans="1:8" x14ac:dyDescent="0.2">
      <c r="A38" s="379">
        <v>42930</v>
      </c>
      <c r="B38" s="377">
        <v>2613.8200000000002</v>
      </c>
      <c r="C38" s="377">
        <v>4164.28</v>
      </c>
      <c r="D38" s="380">
        <v>3621.49</v>
      </c>
      <c r="E38" s="380">
        <v>3328.78</v>
      </c>
      <c r="F38" s="377">
        <v>4363</v>
      </c>
      <c r="G38" s="377">
        <v>3463.97</v>
      </c>
      <c r="H38" s="377">
        <f t="shared" si="2"/>
        <v>-899.0300000000002</v>
      </c>
    </row>
    <row r="39" spans="1:8" x14ac:dyDescent="0.2">
      <c r="A39" s="379">
        <v>42937</v>
      </c>
      <c r="B39" s="380">
        <v>2285.09</v>
      </c>
      <c r="C39" s="380">
        <v>3698.36</v>
      </c>
      <c r="D39" s="380">
        <v>3478.53</v>
      </c>
      <c r="E39" s="380">
        <v>4114.08</v>
      </c>
      <c r="F39" s="377">
        <v>3936.33</v>
      </c>
      <c r="G39" s="377">
        <v>3416.66</v>
      </c>
      <c r="H39" s="377">
        <f t="shared" si="2"/>
        <v>-519.67000000000007</v>
      </c>
    </row>
    <row r="40" spans="1:8" x14ac:dyDescent="0.2">
      <c r="A40" s="379">
        <v>42944</v>
      </c>
      <c r="B40" s="380">
        <v>1982.06</v>
      </c>
      <c r="C40" s="380">
        <v>3907.78</v>
      </c>
      <c r="D40" s="380">
        <v>3713.11</v>
      </c>
      <c r="E40" s="380">
        <v>4010.57</v>
      </c>
      <c r="F40" s="377">
        <v>3962.85</v>
      </c>
      <c r="G40" s="377">
        <v>3139.68</v>
      </c>
      <c r="H40" s="377">
        <f t="shared" si="2"/>
        <v>-823.17000000000007</v>
      </c>
    </row>
    <row r="41" spans="1:8" x14ac:dyDescent="0.2">
      <c r="A41" s="379">
        <v>42951</v>
      </c>
      <c r="B41" s="380">
        <v>2442</v>
      </c>
      <c r="C41" s="380">
        <v>3807.12</v>
      </c>
      <c r="D41" s="380">
        <v>3318.21</v>
      </c>
      <c r="E41" s="380">
        <v>3520.16</v>
      </c>
      <c r="F41" s="377">
        <v>3810.8</v>
      </c>
      <c r="G41" s="377">
        <v>3171.9</v>
      </c>
      <c r="H41" s="377">
        <f t="shared" si="2"/>
        <v>-638.90000000000009</v>
      </c>
    </row>
    <row r="42" spans="1:8" x14ac:dyDescent="0.2">
      <c r="A42" s="379">
        <v>42958</v>
      </c>
      <c r="B42" s="380">
        <v>2003.68</v>
      </c>
      <c r="C42" s="380">
        <v>3636.64</v>
      </c>
      <c r="D42" s="380">
        <v>2999.63</v>
      </c>
      <c r="E42" s="380">
        <v>3150.64</v>
      </c>
      <c r="F42" s="377">
        <v>3905.08</v>
      </c>
      <c r="G42" s="377">
        <v>3339.76</v>
      </c>
      <c r="H42" s="377">
        <f t="shared" si="2"/>
        <v>-565.31999999999971</v>
      </c>
    </row>
    <row r="43" spans="1:8" x14ac:dyDescent="0.2">
      <c r="A43" s="379">
        <v>42965</v>
      </c>
      <c r="B43" s="380">
        <v>1971.38</v>
      </c>
      <c r="C43" s="380">
        <v>3658.28</v>
      </c>
      <c r="D43" s="380">
        <v>4080.16</v>
      </c>
      <c r="E43" s="380">
        <v>3780.2</v>
      </c>
      <c r="F43" s="377">
        <v>3747.05</v>
      </c>
      <c r="G43" s="377">
        <v>3333.42</v>
      </c>
      <c r="H43" s="377">
        <f t="shared" si="2"/>
        <v>-413.63000000000011</v>
      </c>
    </row>
    <row r="44" spans="1:8" x14ac:dyDescent="0.2">
      <c r="A44" s="379">
        <v>42972</v>
      </c>
      <c r="B44" s="380">
        <v>2725.14</v>
      </c>
      <c r="C44" s="380">
        <v>4096.0200000000004</v>
      </c>
      <c r="D44" s="380">
        <v>4309.82</v>
      </c>
      <c r="E44" s="380">
        <v>3361.86</v>
      </c>
      <c r="F44" s="377">
        <v>3788.4</v>
      </c>
      <c r="G44" s="377">
        <v>3772.14</v>
      </c>
      <c r="H44" s="377">
        <f t="shared" si="2"/>
        <v>-16.260000000000218</v>
      </c>
    </row>
    <row r="45" spans="1:8" x14ac:dyDescent="0.2">
      <c r="A45" s="379">
        <v>42979</v>
      </c>
      <c r="B45" s="380">
        <v>2749.96</v>
      </c>
      <c r="C45" s="380">
        <v>3825.18</v>
      </c>
      <c r="D45" s="380">
        <v>3712.48</v>
      </c>
      <c r="E45" s="380">
        <v>3605.07</v>
      </c>
      <c r="F45" s="377">
        <v>3858.34</v>
      </c>
      <c r="G45" s="377">
        <v>3206</v>
      </c>
      <c r="H45" s="377">
        <f t="shared" si="2"/>
        <v>-652.34000000000015</v>
      </c>
    </row>
    <row r="46" spans="1:8" x14ac:dyDescent="0.2">
      <c r="A46" s="379">
        <v>42986</v>
      </c>
      <c r="B46" s="380">
        <v>2323.9</v>
      </c>
      <c r="C46" s="380">
        <v>2717.46</v>
      </c>
      <c r="D46" s="380">
        <v>3072.96</v>
      </c>
      <c r="E46" s="380">
        <f>753.86+2730.15</f>
        <v>3484.01</v>
      </c>
      <c r="F46" s="377">
        <v>3265.99</v>
      </c>
      <c r="G46" s="377">
        <v>2271.2199999999998</v>
      </c>
      <c r="H46" s="377">
        <f t="shared" si="2"/>
        <v>-994.77</v>
      </c>
    </row>
    <row r="47" spans="1:8" x14ac:dyDescent="0.2">
      <c r="A47" s="379">
        <v>42993</v>
      </c>
      <c r="B47" s="380">
        <v>2621.61</v>
      </c>
      <c r="C47" s="380">
        <v>3748.38</v>
      </c>
      <c r="D47" s="380">
        <v>3926.25</v>
      </c>
      <c r="E47" s="380">
        <v>3212.96</v>
      </c>
      <c r="F47" s="377">
        <v>3712.16</v>
      </c>
      <c r="G47" s="377">
        <v>2688.36</v>
      </c>
      <c r="H47" s="377">
        <f t="shared" si="2"/>
        <v>-1023.7999999999997</v>
      </c>
    </row>
    <row r="48" spans="1:8" x14ac:dyDescent="0.2">
      <c r="A48" s="379">
        <v>43000</v>
      </c>
      <c r="B48" s="380">
        <v>2394.14</v>
      </c>
      <c r="C48" s="380">
        <v>3766.8</v>
      </c>
      <c r="D48" s="380">
        <v>4164.1899999999996</v>
      </c>
      <c r="E48" s="380">
        <v>4004.92</v>
      </c>
      <c r="F48" s="377">
        <v>3509.17</v>
      </c>
      <c r="G48" s="377">
        <v>3180.04</v>
      </c>
      <c r="H48" s="377">
        <f t="shared" si="2"/>
        <v>-329.13000000000011</v>
      </c>
    </row>
    <row r="49" spans="1:8" ht="15" thickBot="1" x14ac:dyDescent="0.25">
      <c r="A49" s="379">
        <v>43007</v>
      </c>
      <c r="B49" s="381">
        <v>2669.64</v>
      </c>
      <c r="C49" s="381">
        <v>4136.58</v>
      </c>
      <c r="D49" s="381">
        <v>3566.31</v>
      </c>
      <c r="E49" s="381">
        <v>3837.41</v>
      </c>
      <c r="F49" s="382">
        <v>3803.3</v>
      </c>
      <c r="G49" s="382">
        <v>2437.88</v>
      </c>
      <c r="H49" s="377">
        <f t="shared" si="2"/>
        <v>-1365.42</v>
      </c>
    </row>
    <row r="50" spans="1:8" ht="16.5" thickBot="1" x14ac:dyDescent="0.25">
      <c r="A50" s="383" t="s">
        <v>282</v>
      </c>
      <c r="B50" s="384">
        <f>SUM(B37:B49)</f>
        <v>32092.899999999998</v>
      </c>
      <c r="C50" s="384">
        <f>SUM(C37:C49)</f>
        <v>48222.47</v>
      </c>
      <c r="D50" s="384">
        <f>SUM(D37:D49)</f>
        <v>47361.39</v>
      </c>
      <c r="E50" s="384">
        <f>SUM(E37:E49)</f>
        <v>46039.66</v>
      </c>
      <c r="F50" s="384">
        <f t="shared" ref="F50:H50" si="4">SUM(F37:F49)</f>
        <v>48754.649999999994</v>
      </c>
      <c r="G50" s="384">
        <f t="shared" si="4"/>
        <v>39922.71</v>
      </c>
      <c r="H50" s="384">
        <f t="shared" si="4"/>
        <v>-8831.9399999999987</v>
      </c>
    </row>
    <row r="51" spans="1:8" x14ac:dyDescent="0.2">
      <c r="A51" s="385">
        <v>43014</v>
      </c>
      <c r="B51" s="377">
        <v>3051.16</v>
      </c>
      <c r="C51" s="377">
        <v>4721</v>
      </c>
      <c r="D51" s="377">
        <f>1531.24+2227.04</f>
        <v>3758.2799999999997</v>
      </c>
      <c r="E51" s="377">
        <v>3921.83</v>
      </c>
      <c r="F51" s="377">
        <v>3911.96</v>
      </c>
      <c r="G51" s="377">
        <v>3047.82</v>
      </c>
      <c r="H51" s="377">
        <f t="shared" si="2"/>
        <v>-864.13999999999987</v>
      </c>
    </row>
    <row r="52" spans="1:8" x14ac:dyDescent="0.2">
      <c r="A52" s="379">
        <v>43021</v>
      </c>
      <c r="B52" s="380">
        <v>2579.96</v>
      </c>
      <c r="C52" s="380">
        <v>4035.24</v>
      </c>
      <c r="D52" s="380">
        <v>4232.92</v>
      </c>
      <c r="E52" s="380">
        <v>3403.46</v>
      </c>
      <c r="F52" s="377">
        <v>3093.5</v>
      </c>
      <c r="G52" s="377">
        <v>2010.94</v>
      </c>
      <c r="H52" s="377">
        <f t="shared" si="2"/>
        <v>-1082.56</v>
      </c>
    </row>
    <row r="53" spans="1:8" x14ac:dyDescent="0.2">
      <c r="A53" s="379">
        <v>43028</v>
      </c>
      <c r="B53" s="380">
        <v>3119.16</v>
      </c>
      <c r="C53" s="380">
        <v>2972.08</v>
      </c>
      <c r="D53" s="380">
        <v>3057.22</v>
      </c>
      <c r="E53" s="380">
        <v>3116.16</v>
      </c>
      <c r="F53" s="377">
        <v>4261.32</v>
      </c>
      <c r="G53" s="377">
        <v>3314.5</v>
      </c>
      <c r="H53" s="377">
        <f t="shared" si="2"/>
        <v>-946.81999999999971</v>
      </c>
    </row>
    <row r="54" spans="1:8" x14ac:dyDescent="0.2">
      <c r="A54" s="379">
        <v>43035</v>
      </c>
      <c r="B54" s="380">
        <v>2378.1999999999998</v>
      </c>
      <c r="C54" s="380">
        <v>3341.66</v>
      </c>
      <c r="D54" s="380">
        <v>3745.65</v>
      </c>
      <c r="E54" s="380">
        <v>3664.58</v>
      </c>
      <c r="F54" s="377">
        <v>3860.55</v>
      </c>
      <c r="G54" s="377">
        <v>2905</v>
      </c>
      <c r="H54" s="377">
        <f t="shared" si="2"/>
        <v>-955.55000000000018</v>
      </c>
    </row>
    <row r="55" spans="1:8" x14ac:dyDescent="0.2">
      <c r="A55" s="379">
        <v>43042</v>
      </c>
      <c r="B55" s="380">
        <v>2153.36</v>
      </c>
      <c r="C55" s="380">
        <v>3165.08</v>
      </c>
      <c r="D55" s="380">
        <f>3171.04+47.44+30.24</f>
        <v>3248.72</v>
      </c>
      <c r="E55" s="380">
        <v>3792.71</v>
      </c>
      <c r="F55" s="377">
        <v>3942.48</v>
      </c>
      <c r="G55" s="377">
        <v>3169.18</v>
      </c>
      <c r="H55" s="377">
        <f t="shared" si="2"/>
        <v>-773.30000000000018</v>
      </c>
    </row>
    <row r="56" spans="1:8" x14ac:dyDescent="0.2">
      <c r="A56" s="379">
        <v>43049</v>
      </c>
      <c r="B56" s="380">
        <v>1549.7</v>
      </c>
      <c r="C56" s="380">
        <v>3024.18</v>
      </c>
      <c r="D56" s="380">
        <v>3967.37</v>
      </c>
      <c r="E56" s="380">
        <v>3804.52</v>
      </c>
      <c r="F56" s="377">
        <v>3933.48</v>
      </c>
      <c r="G56" s="377">
        <v>2670.04</v>
      </c>
      <c r="H56" s="377">
        <f t="shared" si="2"/>
        <v>-1263.44</v>
      </c>
    </row>
    <row r="57" spans="1:8" x14ac:dyDescent="0.2">
      <c r="A57" s="379">
        <v>43056</v>
      </c>
      <c r="B57" s="380">
        <f>(5311.2-178.1)*0.5</f>
        <v>2566.5499999999997</v>
      </c>
      <c r="C57" s="380">
        <v>3500.86</v>
      </c>
      <c r="D57" s="380">
        <v>4007.55</v>
      </c>
      <c r="E57" s="380">
        <v>3693.64</v>
      </c>
      <c r="F57" s="377">
        <v>3860.4</v>
      </c>
      <c r="G57" s="377">
        <v>2400.7199999999998</v>
      </c>
      <c r="H57" s="377">
        <f t="shared" si="2"/>
        <v>-1459.6800000000003</v>
      </c>
    </row>
    <row r="58" spans="1:8" x14ac:dyDescent="0.2">
      <c r="A58" s="379">
        <v>43063</v>
      </c>
      <c r="B58" s="380">
        <f>(5311.2-178.1)*0.5</f>
        <v>2566.5499999999997</v>
      </c>
      <c r="C58" s="380">
        <v>4015.8</v>
      </c>
      <c r="D58" s="380">
        <v>4445.62</v>
      </c>
      <c r="E58" s="380">
        <v>3499.88</v>
      </c>
      <c r="F58" s="377">
        <v>1675.8</v>
      </c>
      <c r="G58" s="377">
        <v>1268.44</v>
      </c>
      <c r="H58" s="377">
        <f t="shared" si="2"/>
        <v>-407.3599999999999</v>
      </c>
    </row>
    <row r="59" spans="1:8" x14ac:dyDescent="0.2">
      <c r="A59" s="379">
        <v>43070</v>
      </c>
      <c r="B59" s="380">
        <v>3577.34</v>
      </c>
      <c r="C59" s="380">
        <v>2434.3200000000002</v>
      </c>
      <c r="D59" s="380">
        <v>1953.09</v>
      </c>
      <c r="E59" s="380">
        <v>2000.54</v>
      </c>
      <c r="F59" s="377">
        <v>3669.06</v>
      </c>
      <c r="G59" s="377">
        <v>2816.72</v>
      </c>
      <c r="H59" s="377">
        <f t="shared" si="2"/>
        <v>-852.34000000000015</v>
      </c>
    </row>
    <row r="60" spans="1:8" x14ac:dyDescent="0.2">
      <c r="A60" s="379">
        <v>43077</v>
      </c>
      <c r="B60" s="380">
        <v>3486.12</v>
      </c>
      <c r="C60" s="380">
        <v>3291.9</v>
      </c>
      <c r="D60" s="380">
        <v>3710.06</v>
      </c>
      <c r="E60" s="380">
        <f>2372.46+627.88</f>
        <v>3000.34</v>
      </c>
      <c r="F60" s="377">
        <v>3225.52</v>
      </c>
      <c r="G60" s="377">
        <v>2427</v>
      </c>
      <c r="H60" s="377">
        <f t="shared" si="2"/>
        <v>-798.52</v>
      </c>
    </row>
    <row r="61" spans="1:8" x14ac:dyDescent="0.2">
      <c r="A61" s="379">
        <v>43084</v>
      </c>
      <c r="B61" s="380">
        <v>3539.16</v>
      </c>
      <c r="C61" s="380">
        <v>4047.94</v>
      </c>
      <c r="D61" s="380">
        <v>3873.59</v>
      </c>
      <c r="E61" s="380">
        <v>4104.09</v>
      </c>
      <c r="F61" s="377">
        <v>2933.78</v>
      </c>
      <c r="G61" s="377">
        <v>2427</v>
      </c>
      <c r="H61" s="377">
        <f t="shared" si="2"/>
        <v>-506.7800000000002</v>
      </c>
    </row>
    <row r="62" spans="1:8" x14ac:dyDescent="0.2">
      <c r="A62" s="379">
        <v>43091</v>
      </c>
      <c r="B62" s="380">
        <v>1609.64</v>
      </c>
      <c r="C62" s="380">
        <v>3903.54</v>
      </c>
      <c r="D62" s="380">
        <v>3580.24</v>
      </c>
      <c r="E62" s="380">
        <v>3625.1</v>
      </c>
      <c r="F62" s="377">
        <v>3555.5</v>
      </c>
      <c r="G62" s="377">
        <v>2649.12</v>
      </c>
      <c r="H62" s="377">
        <f t="shared" si="2"/>
        <v>-906.38000000000011</v>
      </c>
    </row>
    <row r="63" spans="1:8" ht="15" thickBot="1" x14ac:dyDescent="0.25">
      <c r="A63" s="386">
        <v>43098</v>
      </c>
      <c r="B63" s="387">
        <v>5154.84</v>
      </c>
      <c r="C63" s="387">
        <v>2331.48</v>
      </c>
      <c r="D63" s="387">
        <v>2383.63</v>
      </c>
      <c r="E63" s="387">
        <v>2256.69</v>
      </c>
      <c r="F63" s="388">
        <v>2486.06</v>
      </c>
      <c r="G63" s="388">
        <v>2088.3000000000002</v>
      </c>
      <c r="H63" s="377">
        <f t="shared" si="2"/>
        <v>-397.75999999999976</v>
      </c>
    </row>
    <row r="64" spans="1:8" ht="16.5" thickBot="1" x14ac:dyDescent="0.25">
      <c r="A64" s="383" t="s">
        <v>283</v>
      </c>
      <c r="B64" s="384">
        <f>SUM(B51:B63)</f>
        <v>37331.74</v>
      </c>
      <c r="C64" s="384">
        <f>SUM(C51:C63)</f>
        <v>44785.08</v>
      </c>
      <c r="D64" s="384">
        <f>SUM(D51:D63)</f>
        <v>45963.939999999988</v>
      </c>
      <c r="E64" s="384">
        <f>SUM(E51:E63)</f>
        <v>43883.54</v>
      </c>
      <c r="F64" s="384">
        <f>SUM(F51:F63)</f>
        <v>44409.409999999996</v>
      </c>
      <c r="G64" s="384">
        <f t="shared" ref="G64" si="5">SUM(G51:G63)</f>
        <v>33194.78</v>
      </c>
      <c r="H64" s="384">
        <f>SUM(H51:H63)</f>
        <v>-11214.63</v>
      </c>
    </row>
    <row r="65" spans="1:8" ht="15.75" x14ac:dyDescent="0.25">
      <c r="A65" s="389" t="s">
        <v>284</v>
      </c>
      <c r="B65" s="390">
        <f t="shared" ref="B65:H65" si="6">SUM(B9:B63)-B22-B36-B50</f>
        <v>139328.74</v>
      </c>
      <c r="C65" s="390">
        <f t="shared" si="6"/>
        <v>199253.05999999985</v>
      </c>
      <c r="D65" s="390">
        <f t="shared" si="6"/>
        <v>184010.66000000003</v>
      </c>
      <c r="E65" s="390">
        <f t="shared" si="6"/>
        <v>185097.12000000014</v>
      </c>
      <c r="F65" s="390">
        <f t="shared" si="6"/>
        <v>194384.88000000003</v>
      </c>
      <c r="G65" s="390">
        <f t="shared" si="6"/>
        <v>157031.36999999994</v>
      </c>
      <c r="H65" s="390">
        <f t="shared" si="6"/>
        <v>-37353.509999999995</v>
      </c>
    </row>
    <row r="66" spans="1:8" x14ac:dyDescent="0.2">
      <c r="A66" s="3" t="s">
        <v>285</v>
      </c>
      <c r="B66" s="391">
        <f t="shared" ref="B66:G66" si="7">AVERAGE(B9:B21)</f>
        <v>2043.7076923076925</v>
      </c>
      <c r="C66" s="392">
        <f t="shared" si="7"/>
        <v>3924.3692307692318</v>
      </c>
      <c r="D66" s="392">
        <f t="shared" si="7"/>
        <v>3374.6030769230765</v>
      </c>
      <c r="E66" s="392">
        <f t="shared" si="7"/>
        <v>3340.4923076923073</v>
      </c>
      <c r="F66" s="392">
        <f t="shared" si="7"/>
        <v>3902.6661538461535</v>
      </c>
      <c r="G66" s="391">
        <f t="shared" si="7"/>
        <v>2699.5315384615378</v>
      </c>
      <c r="H66" s="393">
        <f>G66-F66</f>
        <v>-1203.1346153846157</v>
      </c>
    </row>
    <row r="67" spans="1:8" x14ac:dyDescent="0.2">
      <c r="A67" s="3" t="s">
        <v>286</v>
      </c>
      <c r="B67" s="394">
        <f t="shared" ref="B67:G67" si="8">AVERAGE(B23:B35)</f>
        <v>3333.5307692307692</v>
      </c>
      <c r="C67" s="395">
        <f t="shared" si="8"/>
        <v>4248.3623076923086</v>
      </c>
      <c r="D67" s="395">
        <f t="shared" si="8"/>
        <v>3601.1915384615381</v>
      </c>
      <c r="E67" s="395">
        <f t="shared" si="8"/>
        <v>3980.5784615384619</v>
      </c>
      <c r="F67" s="395">
        <f t="shared" si="8"/>
        <v>3883.5507692307683</v>
      </c>
      <c r="G67" s="394">
        <f t="shared" si="8"/>
        <v>3755.3823076923081</v>
      </c>
      <c r="H67" s="396">
        <f>G67-F67</f>
        <v>-128.16846153846018</v>
      </c>
    </row>
    <row r="68" spans="1:8" x14ac:dyDescent="0.2">
      <c r="A68" s="3" t="s">
        <v>287</v>
      </c>
      <c r="B68" s="394">
        <f t="shared" ref="B68:F68" si="9">AVERAGE(B37:B49)</f>
        <v>2468.6846153846154</v>
      </c>
      <c r="C68" s="395">
        <f t="shared" si="9"/>
        <v>3709.4207692307691</v>
      </c>
      <c r="D68" s="395">
        <f t="shared" si="9"/>
        <v>3643.1838461538459</v>
      </c>
      <c r="E68" s="395">
        <f t="shared" si="9"/>
        <v>3541.5123076923078</v>
      </c>
      <c r="F68" s="395">
        <f t="shared" si="9"/>
        <v>3750.3576923076917</v>
      </c>
      <c r="G68" s="395">
        <f>AVERAGE(G37:G49)</f>
        <v>3070.9776923076925</v>
      </c>
      <c r="H68" s="396">
        <f>G68-F68</f>
        <v>-679.3799999999992</v>
      </c>
    </row>
    <row r="69" spans="1:8" x14ac:dyDescent="0.2">
      <c r="A69" s="3" t="s">
        <v>288</v>
      </c>
      <c r="B69" s="397">
        <f t="shared" ref="B69:G69" si="10">AVERAGE(B51:B63)</f>
        <v>2871.6723076923076</v>
      </c>
      <c r="C69" s="398">
        <f t="shared" si="10"/>
        <v>3445.0061538461541</v>
      </c>
      <c r="D69" s="398">
        <f t="shared" si="10"/>
        <v>3535.6876923076916</v>
      </c>
      <c r="E69" s="399">
        <f t="shared" si="10"/>
        <v>3375.6569230769232</v>
      </c>
      <c r="F69" s="399">
        <f t="shared" si="10"/>
        <v>3416.1084615384611</v>
      </c>
      <c r="G69" s="399">
        <f t="shared" si="10"/>
        <v>2553.4446153846152</v>
      </c>
      <c r="H69" s="400">
        <f>G69-F69</f>
        <v>-862.66384615384595</v>
      </c>
    </row>
  </sheetData>
  <mergeCells count="1">
    <mergeCell ref="A5:H5"/>
  </mergeCells>
  <pageMargins left="1.2" right="0.2" top="0.25" bottom="0.5" header="0.3" footer="0.3"/>
  <pageSetup scale="74" orientation="portrait"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G54"/>
  <sheetViews>
    <sheetView workbookViewId="0">
      <selection activeCell="J10" sqref="J10:J14"/>
    </sheetView>
  </sheetViews>
  <sheetFormatPr defaultRowHeight="14.25" x14ac:dyDescent="0.2"/>
  <cols>
    <col min="1" max="1" width="2.875" style="34" customWidth="1"/>
    <col min="2" max="2" width="8.125" style="34" customWidth="1"/>
    <col min="3" max="3" width="8.75" style="34" customWidth="1"/>
    <col min="4" max="4" width="5.75" style="34" customWidth="1"/>
    <col min="5" max="5" width="2.875" style="34" customWidth="1"/>
    <col min="6" max="6" width="44.625" style="34" customWidth="1"/>
    <col min="7" max="7" width="23" style="148" customWidth="1"/>
    <col min="191" max="191" width="2.875" customWidth="1"/>
    <col min="192" max="192" width="8.125" customWidth="1"/>
    <col min="193" max="193" width="8.75" customWidth="1"/>
    <col min="194" max="194" width="11" customWidth="1"/>
    <col min="195" max="195" width="2.875" customWidth="1"/>
    <col min="196" max="196" width="77.625" customWidth="1"/>
    <col min="197" max="197" width="20.875" customWidth="1"/>
    <col min="447" max="447" width="2.875" customWidth="1"/>
    <col min="448" max="448" width="8.125" customWidth="1"/>
    <col min="449" max="449" width="8.75" customWidth="1"/>
    <col min="450" max="450" width="11" customWidth="1"/>
    <col min="451" max="451" width="2.875" customWidth="1"/>
    <col min="452" max="452" width="77.625" customWidth="1"/>
    <col min="453" max="453" width="20.875" customWidth="1"/>
    <col min="703" max="703" width="2.875" customWidth="1"/>
    <col min="704" max="704" width="8.125" customWidth="1"/>
    <col min="705" max="705" width="8.75" customWidth="1"/>
    <col min="706" max="706" width="11" customWidth="1"/>
    <col min="707" max="707" width="2.875" customWidth="1"/>
    <col min="708" max="708" width="77.625" customWidth="1"/>
    <col min="709" max="709" width="20.875" customWidth="1"/>
    <col min="959" max="959" width="2.875" customWidth="1"/>
    <col min="960" max="960" width="8.125" customWidth="1"/>
    <col min="961" max="961" width="8.75" customWidth="1"/>
    <col min="962" max="962" width="11" customWidth="1"/>
    <col min="963" max="963" width="2.875" customWidth="1"/>
    <col min="964" max="964" width="77.625" customWidth="1"/>
    <col min="965" max="965" width="20.875" customWidth="1"/>
    <col min="1215" max="1215" width="2.875" customWidth="1"/>
    <col min="1216" max="1216" width="8.125" customWidth="1"/>
    <col min="1217" max="1217" width="8.75" customWidth="1"/>
    <col min="1218" max="1218" width="11" customWidth="1"/>
    <col min="1219" max="1219" width="2.875" customWidth="1"/>
    <col min="1220" max="1220" width="77.625" customWidth="1"/>
    <col min="1221" max="1221" width="20.875" customWidth="1"/>
    <col min="1471" max="1471" width="2.875" customWidth="1"/>
    <col min="1472" max="1472" width="8.125" customWidth="1"/>
    <col min="1473" max="1473" width="8.75" customWidth="1"/>
    <col min="1474" max="1474" width="11" customWidth="1"/>
    <col min="1475" max="1475" width="2.875" customWidth="1"/>
    <col min="1476" max="1476" width="77.625" customWidth="1"/>
    <col min="1477" max="1477" width="20.875" customWidth="1"/>
    <col min="1727" max="1727" width="2.875" customWidth="1"/>
    <col min="1728" max="1728" width="8.125" customWidth="1"/>
    <col min="1729" max="1729" width="8.75" customWidth="1"/>
    <col min="1730" max="1730" width="11" customWidth="1"/>
    <col min="1731" max="1731" width="2.875" customWidth="1"/>
    <col min="1732" max="1732" width="77.625" customWidth="1"/>
    <col min="1733" max="1733" width="20.875" customWidth="1"/>
    <col min="1983" max="1983" width="2.875" customWidth="1"/>
    <col min="1984" max="1984" width="8.125" customWidth="1"/>
    <col min="1985" max="1985" width="8.75" customWidth="1"/>
    <col min="1986" max="1986" width="11" customWidth="1"/>
    <col min="1987" max="1987" width="2.875" customWidth="1"/>
    <col min="1988" max="1988" width="77.625" customWidth="1"/>
    <col min="1989" max="1989" width="20.875" customWidth="1"/>
    <col min="2239" max="2239" width="2.875" customWidth="1"/>
    <col min="2240" max="2240" width="8.125" customWidth="1"/>
    <col min="2241" max="2241" width="8.75" customWidth="1"/>
    <col min="2242" max="2242" width="11" customWidth="1"/>
    <col min="2243" max="2243" width="2.875" customWidth="1"/>
    <col min="2244" max="2244" width="77.625" customWidth="1"/>
    <col min="2245" max="2245" width="20.875" customWidth="1"/>
    <col min="2495" max="2495" width="2.875" customWidth="1"/>
    <col min="2496" max="2496" width="8.125" customWidth="1"/>
    <col min="2497" max="2497" width="8.75" customWidth="1"/>
    <col min="2498" max="2498" width="11" customWidth="1"/>
    <col min="2499" max="2499" width="2.875" customWidth="1"/>
    <col min="2500" max="2500" width="77.625" customWidth="1"/>
    <col min="2501" max="2501" width="20.875" customWidth="1"/>
    <col min="2751" max="2751" width="2.875" customWidth="1"/>
    <col min="2752" max="2752" width="8.125" customWidth="1"/>
    <col min="2753" max="2753" width="8.75" customWidth="1"/>
    <col min="2754" max="2754" width="11" customWidth="1"/>
    <col min="2755" max="2755" width="2.875" customWidth="1"/>
    <col min="2756" max="2756" width="77.625" customWidth="1"/>
    <col min="2757" max="2757" width="20.875" customWidth="1"/>
    <col min="3007" max="3007" width="2.875" customWidth="1"/>
    <col min="3008" max="3008" width="8.125" customWidth="1"/>
    <col min="3009" max="3009" width="8.75" customWidth="1"/>
    <col min="3010" max="3010" width="11" customWidth="1"/>
    <col min="3011" max="3011" width="2.875" customWidth="1"/>
    <col min="3012" max="3012" width="77.625" customWidth="1"/>
    <col min="3013" max="3013" width="20.875" customWidth="1"/>
    <col min="3263" max="3263" width="2.875" customWidth="1"/>
    <col min="3264" max="3264" width="8.125" customWidth="1"/>
    <col min="3265" max="3265" width="8.75" customWidth="1"/>
    <col min="3266" max="3266" width="11" customWidth="1"/>
    <col min="3267" max="3267" width="2.875" customWidth="1"/>
    <col min="3268" max="3268" width="77.625" customWidth="1"/>
    <col min="3269" max="3269" width="20.875" customWidth="1"/>
    <col min="3519" max="3519" width="2.875" customWidth="1"/>
    <col min="3520" max="3520" width="8.125" customWidth="1"/>
    <col min="3521" max="3521" width="8.75" customWidth="1"/>
    <col min="3522" max="3522" width="11" customWidth="1"/>
    <col min="3523" max="3523" width="2.875" customWidth="1"/>
    <col min="3524" max="3524" width="77.625" customWidth="1"/>
    <col min="3525" max="3525" width="20.875" customWidth="1"/>
    <col min="3775" max="3775" width="2.875" customWidth="1"/>
    <col min="3776" max="3776" width="8.125" customWidth="1"/>
    <col min="3777" max="3777" width="8.75" customWidth="1"/>
    <col min="3778" max="3778" width="11" customWidth="1"/>
    <col min="3779" max="3779" width="2.875" customWidth="1"/>
    <col min="3780" max="3780" width="77.625" customWidth="1"/>
    <col min="3781" max="3781" width="20.875" customWidth="1"/>
    <col min="4031" max="4031" width="2.875" customWidth="1"/>
    <col min="4032" max="4032" width="8.125" customWidth="1"/>
    <col min="4033" max="4033" width="8.75" customWidth="1"/>
    <col min="4034" max="4034" width="11" customWidth="1"/>
    <col min="4035" max="4035" width="2.875" customWidth="1"/>
    <col min="4036" max="4036" width="77.625" customWidth="1"/>
    <col min="4037" max="4037" width="20.875" customWidth="1"/>
    <col min="4287" max="4287" width="2.875" customWidth="1"/>
    <col min="4288" max="4288" width="8.125" customWidth="1"/>
    <col min="4289" max="4289" width="8.75" customWidth="1"/>
    <col min="4290" max="4290" width="11" customWidth="1"/>
    <col min="4291" max="4291" width="2.875" customWidth="1"/>
    <col min="4292" max="4292" width="77.625" customWidth="1"/>
    <col min="4293" max="4293" width="20.875" customWidth="1"/>
    <col min="4543" max="4543" width="2.875" customWidth="1"/>
    <col min="4544" max="4544" width="8.125" customWidth="1"/>
    <col min="4545" max="4545" width="8.75" customWidth="1"/>
    <col min="4546" max="4546" width="11" customWidth="1"/>
    <col min="4547" max="4547" width="2.875" customWidth="1"/>
    <col min="4548" max="4548" width="77.625" customWidth="1"/>
    <col min="4549" max="4549" width="20.875" customWidth="1"/>
    <col min="4799" max="4799" width="2.875" customWidth="1"/>
    <col min="4800" max="4800" width="8.125" customWidth="1"/>
    <col min="4801" max="4801" width="8.75" customWidth="1"/>
    <col min="4802" max="4802" width="11" customWidth="1"/>
    <col min="4803" max="4803" width="2.875" customWidth="1"/>
    <col min="4804" max="4804" width="77.625" customWidth="1"/>
    <col min="4805" max="4805" width="20.875" customWidth="1"/>
    <col min="5055" max="5055" width="2.875" customWidth="1"/>
    <col min="5056" max="5056" width="8.125" customWidth="1"/>
    <col min="5057" max="5057" width="8.75" customWidth="1"/>
    <col min="5058" max="5058" width="11" customWidth="1"/>
    <col min="5059" max="5059" width="2.875" customWidth="1"/>
    <col min="5060" max="5060" width="77.625" customWidth="1"/>
    <col min="5061" max="5061" width="20.875" customWidth="1"/>
    <col min="5311" max="5311" width="2.875" customWidth="1"/>
    <col min="5312" max="5312" width="8.125" customWidth="1"/>
    <col min="5313" max="5313" width="8.75" customWidth="1"/>
    <col min="5314" max="5314" width="11" customWidth="1"/>
    <col min="5315" max="5315" width="2.875" customWidth="1"/>
    <col min="5316" max="5316" width="77.625" customWidth="1"/>
    <col min="5317" max="5317" width="20.875" customWidth="1"/>
    <col min="5567" max="5567" width="2.875" customWidth="1"/>
    <col min="5568" max="5568" width="8.125" customWidth="1"/>
    <col min="5569" max="5569" width="8.75" customWidth="1"/>
    <col min="5570" max="5570" width="11" customWidth="1"/>
    <col min="5571" max="5571" width="2.875" customWidth="1"/>
    <col min="5572" max="5572" width="77.625" customWidth="1"/>
    <col min="5573" max="5573" width="20.875" customWidth="1"/>
    <col min="5823" max="5823" width="2.875" customWidth="1"/>
    <col min="5824" max="5824" width="8.125" customWidth="1"/>
    <col min="5825" max="5825" width="8.75" customWidth="1"/>
    <col min="5826" max="5826" width="11" customWidth="1"/>
    <col min="5827" max="5827" width="2.875" customWidth="1"/>
    <col min="5828" max="5828" width="77.625" customWidth="1"/>
    <col min="5829" max="5829" width="20.875" customWidth="1"/>
    <col min="6079" max="6079" width="2.875" customWidth="1"/>
    <col min="6080" max="6080" width="8.125" customWidth="1"/>
    <col min="6081" max="6081" width="8.75" customWidth="1"/>
    <col min="6082" max="6082" width="11" customWidth="1"/>
    <col min="6083" max="6083" width="2.875" customWidth="1"/>
    <col min="6084" max="6084" width="77.625" customWidth="1"/>
    <col min="6085" max="6085" width="20.875" customWidth="1"/>
    <col min="6335" max="6335" width="2.875" customWidth="1"/>
    <col min="6336" max="6336" width="8.125" customWidth="1"/>
    <col min="6337" max="6337" width="8.75" customWidth="1"/>
    <col min="6338" max="6338" width="11" customWidth="1"/>
    <col min="6339" max="6339" width="2.875" customWidth="1"/>
    <col min="6340" max="6340" width="77.625" customWidth="1"/>
    <col min="6341" max="6341" width="20.875" customWidth="1"/>
    <col min="6591" max="6591" width="2.875" customWidth="1"/>
    <col min="6592" max="6592" width="8.125" customWidth="1"/>
    <col min="6593" max="6593" width="8.75" customWidth="1"/>
    <col min="6594" max="6594" width="11" customWidth="1"/>
    <col min="6595" max="6595" width="2.875" customWidth="1"/>
    <col min="6596" max="6596" width="77.625" customWidth="1"/>
    <col min="6597" max="6597" width="20.875" customWidth="1"/>
    <col min="6847" max="6847" width="2.875" customWidth="1"/>
    <col min="6848" max="6848" width="8.125" customWidth="1"/>
    <col min="6849" max="6849" width="8.75" customWidth="1"/>
    <col min="6850" max="6850" width="11" customWidth="1"/>
    <col min="6851" max="6851" width="2.875" customWidth="1"/>
    <col min="6852" max="6852" width="77.625" customWidth="1"/>
    <col min="6853" max="6853" width="20.875" customWidth="1"/>
    <col min="7103" max="7103" width="2.875" customWidth="1"/>
    <col min="7104" max="7104" width="8.125" customWidth="1"/>
    <col min="7105" max="7105" width="8.75" customWidth="1"/>
    <col min="7106" max="7106" width="11" customWidth="1"/>
    <col min="7107" max="7107" width="2.875" customWidth="1"/>
    <col min="7108" max="7108" width="77.625" customWidth="1"/>
    <col min="7109" max="7109" width="20.875" customWidth="1"/>
    <col min="7359" max="7359" width="2.875" customWidth="1"/>
    <col min="7360" max="7360" width="8.125" customWidth="1"/>
    <col min="7361" max="7361" width="8.75" customWidth="1"/>
    <col min="7362" max="7362" width="11" customWidth="1"/>
    <col min="7363" max="7363" width="2.875" customWidth="1"/>
    <col min="7364" max="7364" width="77.625" customWidth="1"/>
    <col min="7365" max="7365" width="20.875" customWidth="1"/>
    <col min="7615" max="7615" width="2.875" customWidth="1"/>
    <col min="7616" max="7616" width="8.125" customWidth="1"/>
    <col min="7617" max="7617" width="8.75" customWidth="1"/>
    <col min="7618" max="7618" width="11" customWidth="1"/>
    <col min="7619" max="7619" width="2.875" customWidth="1"/>
    <col min="7620" max="7620" width="77.625" customWidth="1"/>
    <col min="7621" max="7621" width="20.875" customWidth="1"/>
    <col min="7871" max="7871" width="2.875" customWidth="1"/>
    <col min="7872" max="7872" width="8.125" customWidth="1"/>
    <col min="7873" max="7873" width="8.75" customWidth="1"/>
    <col min="7874" max="7874" width="11" customWidth="1"/>
    <col min="7875" max="7875" width="2.875" customWidth="1"/>
    <col min="7876" max="7876" width="77.625" customWidth="1"/>
    <col min="7877" max="7877" width="20.875" customWidth="1"/>
    <col min="8127" max="8127" width="2.875" customWidth="1"/>
    <col min="8128" max="8128" width="8.125" customWidth="1"/>
    <col min="8129" max="8129" width="8.75" customWidth="1"/>
    <col min="8130" max="8130" width="11" customWidth="1"/>
    <col min="8131" max="8131" width="2.875" customWidth="1"/>
    <col min="8132" max="8132" width="77.625" customWidth="1"/>
    <col min="8133" max="8133" width="20.875" customWidth="1"/>
    <col min="8383" max="8383" width="2.875" customWidth="1"/>
    <col min="8384" max="8384" width="8.125" customWidth="1"/>
    <col min="8385" max="8385" width="8.75" customWidth="1"/>
    <col min="8386" max="8386" width="11" customWidth="1"/>
    <col min="8387" max="8387" width="2.875" customWidth="1"/>
    <col min="8388" max="8388" width="77.625" customWidth="1"/>
    <col min="8389" max="8389" width="20.875" customWidth="1"/>
    <col min="8639" max="8639" width="2.875" customWidth="1"/>
    <col min="8640" max="8640" width="8.125" customWidth="1"/>
    <col min="8641" max="8641" width="8.75" customWidth="1"/>
    <col min="8642" max="8642" width="11" customWidth="1"/>
    <col min="8643" max="8643" width="2.875" customWidth="1"/>
    <col min="8644" max="8644" width="77.625" customWidth="1"/>
    <col min="8645" max="8645" width="20.875" customWidth="1"/>
    <col min="8895" max="8895" width="2.875" customWidth="1"/>
    <col min="8896" max="8896" width="8.125" customWidth="1"/>
    <col min="8897" max="8897" width="8.75" customWidth="1"/>
    <col min="8898" max="8898" width="11" customWidth="1"/>
    <col min="8899" max="8899" width="2.875" customWidth="1"/>
    <col min="8900" max="8900" width="77.625" customWidth="1"/>
    <col min="8901" max="8901" width="20.875" customWidth="1"/>
    <col min="9151" max="9151" width="2.875" customWidth="1"/>
    <col min="9152" max="9152" width="8.125" customWidth="1"/>
    <col min="9153" max="9153" width="8.75" customWidth="1"/>
    <col min="9154" max="9154" width="11" customWidth="1"/>
    <col min="9155" max="9155" width="2.875" customWidth="1"/>
    <col min="9156" max="9156" width="77.625" customWidth="1"/>
    <col min="9157" max="9157" width="20.875" customWidth="1"/>
    <col min="9407" max="9407" width="2.875" customWidth="1"/>
    <col min="9408" max="9408" width="8.125" customWidth="1"/>
    <col min="9409" max="9409" width="8.75" customWidth="1"/>
    <col min="9410" max="9410" width="11" customWidth="1"/>
    <col min="9411" max="9411" width="2.875" customWidth="1"/>
    <col min="9412" max="9412" width="77.625" customWidth="1"/>
    <col min="9413" max="9413" width="20.875" customWidth="1"/>
    <col min="9663" max="9663" width="2.875" customWidth="1"/>
    <col min="9664" max="9664" width="8.125" customWidth="1"/>
    <col min="9665" max="9665" width="8.75" customWidth="1"/>
    <col min="9666" max="9666" width="11" customWidth="1"/>
    <col min="9667" max="9667" width="2.875" customWidth="1"/>
    <col min="9668" max="9668" width="77.625" customWidth="1"/>
    <col min="9669" max="9669" width="20.875" customWidth="1"/>
    <col min="9919" max="9919" width="2.875" customWidth="1"/>
    <col min="9920" max="9920" width="8.125" customWidth="1"/>
    <col min="9921" max="9921" width="8.75" customWidth="1"/>
    <col min="9922" max="9922" width="11" customWidth="1"/>
    <col min="9923" max="9923" width="2.875" customWidth="1"/>
    <col min="9924" max="9924" width="77.625" customWidth="1"/>
    <col min="9925" max="9925" width="20.875" customWidth="1"/>
    <col min="10175" max="10175" width="2.875" customWidth="1"/>
    <col min="10176" max="10176" width="8.125" customWidth="1"/>
    <col min="10177" max="10177" width="8.75" customWidth="1"/>
    <col min="10178" max="10178" width="11" customWidth="1"/>
    <col min="10179" max="10179" width="2.875" customWidth="1"/>
    <col min="10180" max="10180" width="77.625" customWidth="1"/>
    <col min="10181" max="10181" width="20.875" customWidth="1"/>
    <col min="10431" max="10431" width="2.875" customWidth="1"/>
    <col min="10432" max="10432" width="8.125" customWidth="1"/>
    <col min="10433" max="10433" width="8.75" customWidth="1"/>
    <col min="10434" max="10434" width="11" customWidth="1"/>
    <col min="10435" max="10435" width="2.875" customWidth="1"/>
    <col min="10436" max="10436" width="77.625" customWidth="1"/>
    <col min="10437" max="10437" width="20.875" customWidth="1"/>
    <col min="10687" max="10687" width="2.875" customWidth="1"/>
    <col min="10688" max="10688" width="8.125" customWidth="1"/>
    <col min="10689" max="10689" width="8.75" customWidth="1"/>
    <col min="10690" max="10690" width="11" customWidth="1"/>
    <col min="10691" max="10691" width="2.875" customWidth="1"/>
    <col min="10692" max="10692" width="77.625" customWidth="1"/>
    <col min="10693" max="10693" width="20.875" customWidth="1"/>
    <col min="10943" max="10943" width="2.875" customWidth="1"/>
    <col min="10944" max="10944" width="8.125" customWidth="1"/>
    <col min="10945" max="10945" width="8.75" customWidth="1"/>
    <col min="10946" max="10946" width="11" customWidth="1"/>
    <col min="10947" max="10947" width="2.875" customWidth="1"/>
    <col min="10948" max="10948" width="77.625" customWidth="1"/>
    <col min="10949" max="10949" width="20.875" customWidth="1"/>
    <col min="11199" max="11199" width="2.875" customWidth="1"/>
    <col min="11200" max="11200" width="8.125" customWidth="1"/>
    <col min="11201" max="11201" width="8.75" customWidth="1"/>
    <col min="11202" max="11202" width="11" customWidth="1"/>
    <col min="11203" max="11203" width="2.875" customWidth="1"/>
    <col min="11204" max="11204" width="77.625" customWidth="1"/>
    <col min="11205" max="11205" width="20.875" customWidth="1"/>
    <col min="11455" max="11455" width="2.875" customWidth="1"/>
    <col min="11456" max="11456" width="8.125" customWidth="1"/>
    <col min="11457" max="11457" width="8.75" customWidth="1"/>
    <col min="11458" max="11458" width="11" customWidth="1"/>
    <col min="11459" max="11459" width="2.875" customWidth="1"/>
    <col min="11460" max="11460" width="77.625" customWidth="1"/>
    <col min="11461" max="11461" width="20.875" customWidth="1"/>
    <col min="11711" max="11711" width="2.875" customWidth="1"/>
    <col min="11712" max="11712" width="8.125" customWidth="1"/>
    <col min="11713" max="11713" width="8.75" customWidth="1"/>
    <col min="11714" max="11714" width="11" customWidth="1"/>
    <col min="11715" max="11715" width="2.875" customWidth="1"/>
    <col min="11716" max="11716" width="77.625" customWidth="1"/>
    <col min="11717" max="11717" width="20.875" customWidth="1"/>
    <col min="11967" max="11967" width="2.875" customWidth="1"/>
    <col min="11968" max="11968" width="8.125" customWidth="1"/>
    <col min="11969" max="11969" width="8.75" customWidth="1"/>
    <col min="11970" max="11970" width="11" customWidth="1"/>
    <col min="11971" max="11971" width="2.875" customWidth="1"/>
    <col min="11972" max="11972" width="77.625" customWidth="1"/>
    <col min="11973" max="11973" width="20.875" customWidth="1"/>
    <col min="12223" max="12223" width="2.875" customWidth="1"/>
    <col min="12224" max="12224" width="8.125" customWidth="1"/>
    <col min="12225" max="12225" width="8.75" customWidth="1"/>
    <col min="12226" max="12226" width="11" customWidth="1"/>
    <col min="12227" max="12227" width="2.875" customWidth="1"/>
    <col min="12228" max="12228" width="77.625" customWidth="1"/>
    <col min="12229" max="12229" width="20.875" customWidth="1"/>
    <col min="12479" max="12479" width="2.875" customWidth="1"/>
    <col min="12480" max="12480" width="8.125" customWidth="1"/>
    <col min="12481" max="12481" width="8.75" customWidth="1"/>
    <col min="12482" max="12482" width="11" customWidth="1"/>
    <col min="12483" max="12483" width="2.875" customWidth="1"/>
    <col min="12484" max="12484" width="77.625" customWidth="1"/>
    <col min="12485" max="12485" width="20.875" customWidth="1"/>
    <col min="12735" max="12735" width="2.875" customWidth="1"/>
    <col min="12736" max="12736" width="8.125" customWidth="1"/>
    <col min="12737" max="12737" width="8.75" customWidth="1"/>
    <col min="12738" max="12738" width="11" customWidth="1"/>
    <col min="12739" max="12739" width="2.875" customWidth="1"/>
    <col min="12740" max="12740" width="77.625" customWidth="1"/>
    <col min="12741" max="12741" width="20.875" customWidth="1"/>
    <col min="12991" max="12991" width="2.875" customWidth="1"/>
    <col min="12992" max="12992" width="8.125" customWidth="1"/>
    <col min="12993" max="12993" width="8.75" customWidth="1"/>
    <col min="12994" max="12994" width="11" customWidth="1"/>
    <col min="12995" max="12995" width="2.875" customWidth="1"/>
    <col min="12996" max="12996" width="77.625" customWidth="1"/>
    <col min="12997" max="12997" width="20.875" customWidth="1"/>
    <col min="13247" max="13247" width="2.875" customWidth="1"/>
    <col min="13248" max="13248" width="8.125" customWidth="1"/>
    <col min="13249" max="13249" width="8.75" customWidth="1"/>
    <col min="13250" max="13250" width="11" customWidth="1"/>
    <col min="13251" max="13251" width="2.875" customWidth="1"/>
    <col min="13252" max="13252" width="77.625" customWidth="1"/>
    <col min="13253" max="13253" width="20.875" customWidth="1"/>
    <col min="13503" max="13503" width="2.875" customWidth="1"/>
    <col min="13504" max="13504" width="8.125" customWidth="1"/>
    <col min="13505" max="13505" width="8.75" customWidth="1"/>
    <col min="13506" max="13506" width="11" customWidth="1"/>
    <col min="13507" max="13507" width="2.875" customWidth="1"/>
    <col min="13508" max="13508" width="77.625" customWidth="1"/>
    <col min="13509" max="13509" width="20.875" customWidth="1"/>
    <col min="13759" max="13759" width="2.875" customWidth="1"/>
    <col min="13760" max="13760" width="8.125" customWidth="1"/>
    <col min="13761" max="13761" width="8.75" customWidth="1"/>
    <col min="13762" max="13762" width="11" customWidth="1"/>
    <col min="13763" max="13763" width="2.875" customWidth="1"/>
    <col min="13764" max="13764" width="77.625" customWidth="1"/>
    <col min="13765" max="13765" width="20.875" customWidth="1"/>
    <col min="14015" max="14015" width="2.875" customWidth="1"/>
    <col min="14016" max="14016" width="8.125" customWidth="1"/>
    <col min="14017" max="14017" width="8.75" customWidth="1"/>
    <col min="14018" max="14018" width="11" customWidth="1"/>
    <col min="14019" max="14019" width="2.875" customWidth="1"/>
    <col min="14020" max="14020" width="77.625" customWidth="1"/>
    <col min="14021" max="14021" width="20.875" customWidth="1"/>
    <col min="14271" max="14271" width="2.875" customWidth="1"/>
    <col min="14272" max="14272" width="8.125" customWidth="1"/>
    <col min="14273" max="14273" width="8.75" customWidth="1"/>
    <col min="14274" max="14274" width="11" customWidth="1"/>
    <col min="14275" max="14275" width="2.875" customWidth="1"/>
    <col min="14276" max="14276" width="77.625" customWidth="1"/>
    <col min="14277" max="14277" width="20.875" customWidth="1"/>
    <col min="14527" max="14527" width="2.875" customWidth="1"/>
    <col min="14528" max="14528" width="8.125" customWidth="1"/>
    <col min="14529" max="14529" width="8.75" customWidth="1"/>
    <col min="14530" max="14530" width="11" customWidth="1"/>
    <col min="14531" max="14531" width="2.875" customWidth="1"/>
    <col min="14532" max="14532" width="77.625" customWidth="1"/>
    <col min="14533" max="14533" width="20.875" customWidth="1"/>
    <col min="14783" max="14783" width="2.875" customWidth="1"/>
    <col min="14784" max="14784" width="8.125" customWidth="1"/>
    <col min="14785" max="14785" width="8.75" customWidth="1"/>
    <col min="14786" max="14786" width="11" customWidth="1"/>
    <col min="14787" max="14787" width="2.875" customWidth="1"/>
    <col min="14788" max="14788" width="77.625" customWidth="1"/>
    <col min="14789" max="14789" width="20.875" customWidth="1"/>
    <col min="15039" max="15039" width="2.875" customWidth="1"/>
    <col min="15040" max="15040" width="8.125" customWidth="1"/>
    <col min="15041" max="15041" width="8.75" customWidth="1"/>
    <col min="15042" max="15042" width="11" customWidth="1"/>
    <col min="15043" max="15043" width="2.875" customWidth="1"/>
    <col min="15044" max="15044" width="77.625" customWidth="1"/>
    <col min="15045" max="15045" width="20.875" customWidth="1"/>
    <col min="15295" max="15295" width="2.875" customWidth="1"/>
    <col min="15296" max="15296" width="8.125" customWidth="1"/>
    <col min="15297" max="15297" width="8.75" customWidth="1"/>
    <col min="15298" max="15298" width="11" customWidth="1"/>
    <col min="15299" max="15299" width="2.875" customWidth="1"/>
    <col min="15300" max="15300" width="77.625" customWidth="1"/>
    <col min="15301" max="15301" width="20.875" customWidth="1"/>
    <col min="15551" max="15551" width="2.875" customWidth="1"/>
    <col min="15552" max="15552" width="8.125" customWidth="1"/>
    <col min="15553" max="15553" width="8.75" customWidth="1"/>
    <col min="15554" max="15554" width="11" customWidth="1"/>
    <col min="15555" max="15555" width="2.875" customWidth="1"/>
    <col min="15556" max="15556" width="77.625" customWidth="1"/>
    <col min="15557" max="15557" width="20.875" customWidth="1"/>
    <col min="15807" max="15807" width="2.875" customWidth="1"/>
    <col min="15808" max="15808" width="8.125" customWidth="1"/>
    <col min="15809" max="15809" width="8.75" customWidth="1"/>
    <col min="15810" max="15810" width="11" customWidth="1"/>
    <col min="15811" max="15811" width="2.875" customWidth="1"/>
    <col min="15812" max="15812" width="77.625" customWidth="1"/>
    <col min="15813" max="15813" width="20.875" customWidth="1"/>
    <col min="16063" max="16063" width="2.875" customWidth="1"/>
    <col min="16064" max="16064" width="8.125" customWidth="1"/>
    <col min="16065" max="16065" width="8.75" customWidth="1"/>
    <col min="16066" max="16066" width="11" customWidth="1"/>
    <col min="16067" max="16067" width="2.875" customWidth="1"/>
    <col min="16068" max="16068" width="77.625" customWidth="1"/>
    <col min="16069" max="16069" width="20.875" customWidth="1"/>
  </cols>
  <sheetData>
    <row r="1" spans="1:7" ht="22.5" customHeight="1" x14ac:dyDescent="0.4">
      <c r="A1" s="35" t="s">
        <v>90</v>
      </c>
      <c r="B1" s="36"/>
      <c r="C1" s="37"/>
      <c r="D1" s="37"/>
      <c r="E1" s="37"/>
      <c r="F1" s="36"/>
      <c r="G1" s="149"/>
    </row>
    <row r="2" spans="1:7" ht="22.5" customHeight="1" x14ac:dyDescent="0.4">
      <c r="A2" s="35" t="s">
        <v>256</v>
      </c>
      <c r="B2" s="36"/>
      <c r="C2" s="37"/>
      <c r="D2" s="37"/>
      <c r="E2" s="37"/>
      <c r="F2" s="36"/>
      <c r="G2" s="149"/>
    </row>
    <row r="3" spans="1:7" ht="22.5" hidden="1" customHeight="1" x14ac:dyDescent="0.4">
      <c r="A3" s="35" t="s">
        <v>251</v>
      </c>
      <c r="B3" s="36"/>
      <c r="C3" s="37"/>
      <c r="D3" s="37"/>
      <c r="E3" s="37"/>
      <c r="F3" s="36"/>
      <c r="G3" s="149"/>
    </row>
    <row r="4" spans="1:7" ht="22.5" customHeight="1" x14ac:dyDescent="0.4">
      <c r="A4" s="35" t="s">
        <v>257</v>
      </c>
      <c r="B4" s="36"/>
      <c r="C4" s="37"/>
      <c r="D4" s="37"/>
      <c r="E4" s="37"/>
      <c r="F4" s="36"/>
      <c r="G4" s="149"/>
    </row>
    <row r="5" spans="1:7" s="39" customFormat="1" ht="5.25" customHeight="1" thickBot="1" x14ac:dyDescent="0.25">
      <c r="A5" s="38"/>
      <c r="B5" s="38"/>
      <c r="C5" s="38"/>
      <c r="D5" s="38"/>
      <c r="E5" s="38"/>
      <c r="F5" s="38"/>
      <c r="G5" s="150"/>
    </row>
    <row r="6" spans="1:7" s="42" customFormat="1" ht="24.75" customHeight="1" thickTop="1" thickBot="1" x14ac:dyDescent="0.25">
      <c r="A6" s="40"/>
      <c r="B6" s="40"/>
      <c r="C6" s="40"/>
      <c r="D6" s="40"/>
      <c r="E6" s="40"/>
      <c r="F6" s="40"/>
      <c r="G6" s="269" t="s">
        <v>46</v>
      </c>
    </row>
    <row r="7" spans="1:7" s="44" customFormat="1" ht="8.25" customHeight="1" thickTop="1" x14ac:dyDescent="0.2">
      <c r="A7" s="43"/>
      <c r="B7" s="43"/>
      <c r="C7" s="43"/>
      <c r="D7" s="43"/>
      <c r="E7" s="43"/>
      <c r="F7" s="43"/>
      <c r="G7" s="151"/>
    </row>
    <row r="8" spans="1:7" ht="21" thickBot="1" x14ac:dyDescent="0.35">
      <c r="A8" s="45"/>
      <c r="B8" s="98" t="s">
        <v>96</v>
      </c>
      <c r="C8" s="98"/>
      <c r="D8" s="98"/>
      <c r="E8" s="98"/>
      <c r="F8" s="98"/>
      <c r="G8" s="187"/>
    </row>
    <row r="9" spans="1:7" s="44" customFormat="1" ht="20.25" x14ac:dyDescent="0.2">
      <c r="A9" s="43"/>
      <c r="B9" s="43"/>
      <c r="C9" s="47" t="s">
        <v>97</v>
      </c>
      <c r="D9" s="47"/>
      <c r="E9" s="47"/>
      <c r="F9" s="43"/>
      <c r="G9" s="160">
        <v>1015000</v>
      </c>
    </row>
    <row r="10" spans="1:7" s="44" customFormat="1" ht="20.25" x14ac:dyDescent="0.2">
      <c r="A10" s="43"/>
      <c r="B10" s="43"/>
      <c r="C10" s="47" t="s">
        <v>168</v>
      </c>
      <c r="D10" s="47"/>
      <c r="E10" s="47"/>
      <c r="F10" s="43"/>
      <c r="G10" s="151">
        <v>13000</v>
      </c>
    </row>
    <row r="11" spans="1:7" s="44" customFormat="1" ht="20.25" x14ac:dyDescent="0.2">
      <c r="A11" s="43"/>
      <c r="B11" s="43"/>
      <c r="C11" s="47" t="s">
        <v>146</v>
      </c>
      <c r="D11" s="47"/>
      <c r="E11" s="47"/>
      <c r="F11" s="43"/>
      <c r="G11" s="151">
        <v>195000</v>
      </c>
    </row>
    <row r="12" spans="1:7" s="44" customFormat="1" ht="20.25" x14ac:dyDescent="0.2">
      <c r="A12" s="43"/>
      <c r="B12" s="43"/>
      <c r="C12" s="47" t="s">
        <v>174</v>
      </c>
      <c r="D12" s="47"/>
      <c r="E12" s="47"/>
      <c r="F12" s="43"/>
      <c r="G12" s="151">
        <v>40000</v>
      </c>
    </row>
    <row r="13" spans="1:7" s="44" customFormat="1" ht="20.25" x14ac:dyDescent="0.2">
      <c r="A13" s="43"/>
      <c r="B13" s="43"/>
      <c r="C13" s="47" t="s">
        <v>98</v>
      </c>
      <c r="D13" s="47"/>
      <c r="E13" s="47"/>
      <c r="F13" s="43"/>
      <c r="G13" s="151"/>
    </row>
    <row r="14" spans="1:7" s="44" customFormat="1" ht="20.25" x14ac:dyDescent="0.2">
      <c r="A14" s="43"/>
      <c r="B14" s="43"/>
      <c r="D14" s="47" t="s">
        <v>135</v>
      </c>
      <c r="E14" s="47"/>
      <c r="F14" s="43"/>
      <c r="G14" s="151">
        <f>43900+41500+122000</f>
        <v>207400</v>
      </c>
    </row>
    <row r="15" spans="1:7" s="44" customFormat="1" ht="20.25" x14ac:dyDescent="0.2">
      <c r="A15" s="43"/>
      <c r="B15" s="43"/>
      <c r="D15" s="47" t="s">
        <v>154</v>
      </c>
      <c r="E15" s="47"/>
      <c r="F15" s="43"/>
      <c r="G15" s="151">
        <v>11000</v>
      </c>
    </row>
    <row r="16" spans="1:7" s="44" customFormat="1" ht="20.25" x14ac:dyDescent="0.2">
      <c r="A16" s="43"/>
      <c r="B16" s="43"/>
      <c r="C16" s="47" t="s">
        <v>99</v>
      </c>
      <c r="D16" s="47"/>
      <c r="E16" s="47"/>
      <c r="F16" s="43"/>
      <c r="G16" s="151">
        <v>9500</v>
      </c>
    </row>
    <row r="17" spans="1:7" s="44" customFormat="1" ht="20.25" x14ac:dyDescent="0.2">
      <c r="A17" s="43"/>
      <c r="B17" s="43"/>
      <c r="C17" s="47" t="s">
        <v>106</v>
      </c>
      <c r="D17" s="47"/>
      <c r="E17" s="47"/>
      <c r="F17" s="43"/>
      <c r="G17" s="151">
        <v>1000</v>
      </c>
    </row>
    <row r="18" spans="1:7" s="44" customFormat="1" ht="20.25" x14ac:dyDescent="0.2">
      <c r="A18" s="43"/>
      <c r="B18" s="43"/>
      <c r="C18" s="47" t="s">
        <v>230</v>
      </c>
      <c r="D18" s="47"/>
      <c r="E18" s="47"/>
      <c r="F18" s="43"/>
      <c r="G18" s="151">
        <v>3000</v>
      </c>
    </row>
    <row r="19" spans="1:7" s="44" customFormat="1" ht="20.25" x14ac:dyDescent="0.2">
      <c r="A19" s="43"/>
      <c r="B19" s="43"/>
      <c r="C19" s="47" t="s">
        <v>231</v>
      </c>
      <c r="D19" s="47"/>
      <c r="E19" s="47"/>
      <c r="F19" s="43"/>
      <c r="G19" s="151">
        <f>25000+8000+20000</f>
        <v>53000</v>
      </c>
    </row>
    <row r="20" spans="1:7" s="44" customFormat="1" ht="20.25" x14ac:dyDescent="0.2">
      <c r="A20" s="43"/>
      <c r="B20" s="43"/>
      <c r="C20" s="47" t="s">
        <v>141</v>
      </c>
      <c r="D20" s="47"/>
      <c r="E20" s="47"/>
      <c r="F20" s="43"/>
      <c r="G20" s="151">
        <v>500</v>
      </c>
    </row>
    <row r="21" spans="1:7" s="44" customFormat="1" ht="20.25" hidden="1" x14ac:dyDescent="0.2">
      <c r="A21" s="43"/>
      <c r="B21" s="43"/>
      <c r="C21" s="47" t="s">
        <v>159</v>
      </c>
      <c r="D21" s="47"/>
      <c r="E21" s="47"/>
      <c r="F21" s="43"/>
      <c r="G21" s="151"/>
    </row>
    <row r="22" spans="1:7" s="44" customFormat="1" ht="21" thickBot="1" x14ac:dyDescent="0.25">
      <c r="A22" s="43"/>
      <c r="B22" s="43"/>
      <c r="C22" s="47" t="s">
        <v>105</v>
      </c>
      <c r="D22" s="47"/>
      <c r="E22" s="47"/>
      <c r="F22" s="43"/>
      <c r="G22" s="158">
        <v>46575</v>
      </c>
    </row>
    <row r="23" spans="1:7" s="44" customFormat="1" ht="20.25" x14ac:dyDescent="0.2">
      <c r="A23" s="43"/>
      <c r="B23" s="43"/>
      <c r="C23" s="47"/>
      <c r="D23" s="43" t="s">
        <v>101</v>
      </c>
      <c r="E23" s="47"/>
      <c r="F23" s="43"/>
      <c r="G23" s="151">
        <f>SUM(G9:G22)</f>
        <v>1594975</v>
      </c>
    </row>
    <row r="24" spans="1:7" s="44" customFormat="1" ht="21" thickBot="1" x14ac:dyDescent="0.25">
      <c r="A24" s="43"/>
      <c r="B24" s="43"/>
      <c r="C24" s="43" t="s">
        <v>102</v>
      </c>
      <c r="D24" s="47"/>
      <c r="E24" s="47"/>
      <c r="F24" s="43"/>
      <c r="G24" s="158">
        <f>68000+18000</f>
        <v>86000</v>
      </c>
    </row>
    <row r="25" spans="1:7" s="44" customFormat="1" ht="20.25" x14ac:dyDescent="0.2">
      <c r="A25" s="43"/>
      <c r="B25" s="43"/>
      <c r="C25" s="47"/>
      <c r="D25" s="43" t="s">
        <v>103</v>
      </c>
      <c r="E25" s="47"/>
      <c r="F25" s="43"/>
      <c r="G25" s="151">
        <f>SUM(G23:G24)</f>
        <v>1680975</v>
      </c>
    </row>
    <row r="26" spans="1:7" s="44" customFormat="1" ht="6" customHeight="1" x14ac:dyDescent="0.2">
      <c r="A26" s="43"/>
      <c r="B26" s="43"/>
      <c r="C26" s="47"/>
      <c r="D26" s="43"/>
      <c r="E26" s="47"/>
      <c r="F26" s="43"/>
      <c r="G26" s="151"/>
    </row>
    <row r="27" spans="1:7" s="44" customFormat="1" ht="21" thickBot="1" x14ac:dyDescent="0.25">
      <c r="A27" s="43"/>
      <c r="B27" s="55" t="s">
        <v>107</v>
      </c>
      <c r="C27" s="55"/>
      <c r="D27" s="55"/>
      <c r="E27" s="55"/>
      <c r="F27" s="55"/>
      <c r="G27" s="158"/>
    </row>
    <row r="28" spans="1:7" s="44" customFormat="1" ht="20.25" x14ac:dyDescent="0.2">
      <c r="A28" s="43"/>
      <c r="B28" s="43"/>
      <c r="C28" s="47" t="s">
        <v>108</v>
      </c>
      <c r="D28" s="47"/>
      <c r="E28" s="47"/>
      <c r="F28" s="47"/>
      <c r="G28" s="151">
        <f>ROUND((898643.55+40000)*1.02,-2)</f>
        <v>957400</v>
      </c>
    </row>
    <row r="29" spans="1:7" s="44" customFormat="1" ht="20.25" x14ac:dyDescent="0.2">
      <c r="A29" s="43"/>
      <c r="B29" s="43"/>
      <c r="C29" s="47" t="s">
        <v>109</v>
      </c>
      <c r="D29" s="47"/>
      <c r="E29" s="47"/>
      <c r="F29" s="47"/>
      <c r="G29" s="151">
        <f>ROUNDUP(G28*0.195,-2)</f>
        <v>186700</v>
      </c>
    </row>
    <row r="30" spans="1:7" s="44" customFormat="1" ht="20.25" x14ac:dyDescent="0.2">
      <c r="A30" s="43"/>
      <c r="B30" s="43"/>
      <c r="C30" s="47" t="s">
        <v>110</v>
      </c>
      <c r="D30" s="47"/>
      <c r="E30" s="47"/>
      <c r="F30" s="47"/>
      <c r="G30" s="151">
        <f>48831-G22</f>
        <v>2256</v>
      </c>
    </row>
    <row r="31" spans="1:7" s="44" customFormat="1" ht="20.25" x14ac:dyDescent="0.2">
      <c r="A31" s="43"/>
      <c r="B31" s="43"/>
      <c r="C31" s="47" t="s">
        <v>100</v>
      </c>
      <c r="D31" s="47"/>
      <c r="E31" s="47"/>
      <c r="F31" s="47"/>
      <c r="G31" s="151">
        <f>G22</f>
        <v>46575</v>
      </c>
    </row>
    <row r="32" spans="1:7" s="44" customFormat="1" ht="20.25" x14ac:dyDescent="0.2">
      <c r="A32" s="43"/>
      <c r="B32" s="43"/>
      <c r="C32" s="47" t="s">
        <v>111</v>
      </c>
      <c r="D32" s="47"/>
      <c r="E32" s="47"/>
      <c r="F32" s="47"/>
      <c r="G32" s="151">
        <v>14000</v>
      </c>
    </row>
    <row r="33" spans="1:7" s="44" customFormat="1" ht="20.25" x14ac:dyDescent="0.2">
      <c r="A33" s="43"/>
      <c r="B33" s="43"/>
      <c r="C33" s="47" t="s">
        <v>112</v>
      </c>
      <c r="D33" s="47"/>
      <c r="E33" s="47"/>
      <c r="F33" s="47"/>
      <c r="G33" s="151">
        <v>3500</v>
      </c>
    </row>
    <row r="34" spans="1:7" s="44" customFormat="1" ht="20.25" x14ac:dyDescent="0.2">
      <c r="A34" s="43"/>
      <c r="B34" s="43"/>
      <c r="C34" s="47" t="s">
        <v>113</v>
      </c>
      <c r="D34" s="47"/>
      <c r="E34" s="47"/>
      <c r="F34" s="47"/>
      <c r="G34" s="151">
        <v>7000</v>
      </c>
    </row>
    <row r="35" spans="1:7" s="44" customFormat="1" ht="20.25" x14ac:dyDescent="0.2">
      <c r="A35" s="43"/>
      <c r="B35" s="43"/>
      <c r="C35" s="47" t="s">
        <v>114</v>
      </c>
      <c r="D35" s="47"/>
      <c r="E35" s="47"/>
      <c r="F35" s="47"/>
      <c r="G35" s="151">
        <v>13500</v>
      </c>
    </row>
    <row r="36" spans="1:7" s="44" customFormat="1" ht="20.25" x14ac:dyDescent="0.2">
      <c r="A36" s="43"/>
      <c r="B36" s="43"/>
      <c r="C36" s="47" t="s">
        <v>115</v>
      </c>
      <c r="D36" s="47"/>
      <c r="E36" s="47"/>
      <c r="F36" s="47"/>
      <c r="G36" s="151">
        <v>40000</v>
      </c>
    </row>
    <row r="37" spans="1:7" s="44" customFormat="1" ht="20.25" x14ac:dyDescent="0.2">
      <c r="A37" s="43"/>
      <c r="B37" s="43"/>
      <c r="C37" s="47" t="s">
        <v>116</v>
      </c>
      <c r="D37" s="47"/>
      <c r="E37" s="47"/>
      <c r="F37" s="47"/>
      <c r="G37" s="151">
        <v>6600</v>
      </c>
    </row>
    <row r="38" spans="1:7" s="44" customFormat="1" ht="20.25" x14ac:dyDescent="0.2">
      <c r="A38" s="43"/>
      <c r="B38" s="43"/>
      <c r="C38" s="47" t="s">
        <v>117</v>
      </c>
      <c r="D38" s="47"/>
      <c r="E38" s="47"/>
      <c r="F38" s="47"/>
      <c r="G38" s="151">
        <v>1500</v>
      </c>
    </row>
    <row r="39" spans="1:7" s="44" customFormat="1" ht="20.25" x14ac:dyDescent="0.2">
      <c r="A39" s="43"/>
      <c r="B39" s="43"/>
      <c r="C39" s="47" t="s">
        <v>161</v>
      </c>
      <c r="D39" s="47"/>
      <c r="E39" s="47"/>
      <c r="F39" s="47"/>
      <c r="G39" s="151">
        <v>13700</v>
      </c>
    </row>
    <row r="40" spans="1:7" s="44" customFormat="1" ht="20.25" x14ac:dyDescent="0.2">
      <c r="A40" s="47"/>
      <c r="B40" s="47"/>
      <c r="C40" s="47" t="s">
        <v>118</v>
      </c>
      <c r="D40" s="47"/>
      <c r="E40" s="47"/>
      <c r="F40" s="47"/>
      <c r="G40" s="151">
        <f>ROUNDUP(13248.87*1.05,-2)</f>
        <v>14000</v>
      </c>
    </row>
    <row r="41" spans="1:7" s="44" customFormat="1" ht="20.25" x14ac:dyDescent="0.2">
      <c r="A41" s="47"/>
      <c r="B41" s="47"/>
      <c r="C41" s="47" t="s">
        <v>119</v>
      </c>
      <c r="D41" s="47"/>
      <c r="E41" s="47"/>
      <c r="F41" s="47"/>
      <c r="G41" s="151">
        <f>ROUNDUP(12343.85*1.03,-2)</f>
        <v>12800</v>
      </c>
    </row>
    <row r="42" spans="1:7" s="44" customFormat="1" ht="20.25" x14ac:dyDescent="0.2">
      <c r="A42" s="47"/>
      <c r="B42" s="47"/>
      <c r="C42" s="47" t="s">
        <v>126</v>
      </c>
      <c r="D42" s="47"/>
      <c r="E42" s="47"/>
      <c r="F42" s="47"/>
      <c r="G42" s="151">
        <v>3000</v>
      </c>
    </row>
    <row r="43" spans="1:7" s="44" customFormat="1" ht="20.25" x14ac:dyDescent="0.2">
      <c r="A43" s="47"/>
      <c r="B43" s="47"/>
      <c r="C43" s="47" t="s">
        <v>120</v>
      </c>
      <c r="D43" s="47"/>
      <c r="E43" s="47"/>
      <c r="F43" s="47"/>
      <c r="G43" s="151">
        <f>ROUNDUP((3067.88+8008.83)*1.05,-2)</f>
        <v>11700</v>
      </c>
    </row>
    <row r="44" spans="1:7" s="44" customFormat="1" ht="20.25" x14ac:dyDescent="0.2">
      <c r="A44" s="43"/>
      <c r="B44" s="43"/>
      <c r="C44" s="47" t="s">
        <v>193</v>
      </c>
      <c r="D44" s="47"/>
      <c r="E44" s="47"/>
      <c r="F44" s="47"/>
      <c r="G44" s="151">
        <v>17000</v>
      </c>
    </row>
    <row r="45" spans="1:7" s="44" customFormat="1" ht="20.25" x14ac:dyDescent="0.2">
      <c r="A45" s="47"/>
      <c r="B45" s="47"/>
      <c r="C45" s="47" t="s">
        <v>121</v>
      </c>
      <c r="D45" s="47"/>
      <c r="E45" s="47"/>
      <c r="F45" s="47"/>
      <c r="G45" s="151">
        <v>41000</v>
      </c>
    </row>
    <row r="46" spans="1:7" s="44" customFormat="1" ht="20.25" x14ac:dyDescent="0.2">
      <c r="A46" s="47"/>
      <c r="B46" s="47"/>
      <c r="C46" s="47" t="s">
        <v>122</v>
      </c>
      <c r="D46" s="47"/>
      <c r="E46" s="47"/>
      <c r="F46" s="47"/>
      <c r="G46" s="151">
        <f>ROUNDUP((1800+4675.64+34905.29+1033.01-10000-2673-17150-1033+14000)*1.01,-2)</f>
        <v>25900</v>
      </c>
    </row>
    <row r="47" spans="1:7" s="44" customFormat="1" ht="20.25" x14ac:dyDescent="0.2">
      <c r="A47" s="47"/>
      <c r="B47" s="47"/>
      <c r="C47" s="47" t="s">
        <v>162</v>
      </c>
      <c r="D47" s="47"/>
      <c r="E47" s="47"/>
      <c r="F47" s="47"/>
      <c r="G47" s="151">
        <v>36000</v>
      </c>
    </row>
    <row r="48" spans="1:7" s="44" customFormat="1" ht="20.25" x14ac:dyDescent="0.2">
      <c r="A48" s="47"/>
      <c r="B48" s="47"/>
      <c r="C48" s="47" t="s">
        <v>160</v>
      </c>
      <c r="D48" s="47"/>
      <c r="E48" s="47"/>
      <c r="F48" s="47"/>
      <c r="G48" s="151">
        <f>ROUNDUP(46266.27*1.02,-2)</f>
        <v>47200</v>
      </c>
    </row>
    <row r="49" spans="1:7" s="44" customFormat="1" ht="20.25" x14ac:dyDescent="0.2">
      <c r="A49" s="47"/>
      <c r="B49" s="47"/>
      <c r="C49" s="47" t="s">
        <v>123</v>
      </c>
      <c r="D49" s="47"/>
      <c r="E49" s="47"/>
      <c r="F49" s="47"/>
      <c r="G49" s="151">
        <f>ROUND((2604.31+166143.24-12000)*1.01,-2)</f>
        <v>158300</v>
      </c>
    </row>
    <row r="50" spans="1:7" s="44" customFormat="1" ht="20.25" hidden="1" x14ac:dyDescent="0.2">
      <c r="A50" s="47"/>
      <c r="B50" s="47"/>
      <c r="C50" s="47" t="s">
        <v>252</v>
      </c>
      <c r="D50" s="47"/>
      <c r="E50" s="47"/>
      <c r="F50" s="47"/>
      <c r="G50" s="151"/>
    </row>
    <row r="51" spans="1:7" s="44" customFormat="1" ht="20.25" x14ac:dyDescent="0.2">
      <c r="A51" s="43"/>
      <c r="B51" s="43"/>
      <c r="C51" s="43"/>
      <c r="D51" s="43" t="s">
        <v>124</v>
      </c>
      <c r="E51" s="43"/>
      <c r="F51" s="43"/>
      <c r="G51" s="154">
        <f>SUM(G28:G50)</f>
        <v>1659631</v>
      </c>
    </row>
    <row r="52" spans="1:7" s="44" customFormat="1" ht="10.5" customHeight="1" thickBot="1" x14ac:dyDescent="0.25">
      <c r="A52" s="43"/>
      <c r="B52" s="43"/>
      <c r="C52" s="43"/>
      <c r="D52" s="43"/>
      <c r="E52" s="43"/>
      <c r="F52" s="43"/>
      <c r="G52" s="158"/>
    </row>
    <row r="53" spans="1:7" s="44" customFormat="1" ht="21" thickBot="1" x14ac:dyDescent="0.25">
      <c r="A53" s="43"/>
      <c r="B53" s="43"/>
      <c r="C53" s="43"/>
      <c r="D53" s="43" t="s">
        <v>125</v>
      </c>
      <c r="E53" s="43"/>
      <c r="F53" s="43"/>
      <c r="G53" s="158">
        <f>G25-G51</f>
        <v>21344</v>
      </c>
    </row>
    <row r="54" spans="1:7" s="44" customFormat="1" ht="11.25" customHeight="1" x14ac:dyDescent="0.2">
      <c r="A54" s="43"/>
      <c r="B54" s="43"/>
      <c r="C54" s="43"/>
      <c r="D54" s="43"/>
      <c r="E54" s="43"/>
      <c r="F54" s="43"/>
      <c r="G54" s="151"/>
    </row>
  </sheetData>
  <pageMargins left="0.45" right="0.45" top="0.5" bottom="0.5" header="0.3" footer="0.3"/>
  <pageSetup scale="75" orientation="portrait"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W41"/>
  <sheetViews>
    <sheetView zoomScale="75" zoomScaleNormal="75" workbookViewId="0">
      <selection activeCell="M38" sqref="M38"/>
    </sheetView>
  </sheetViews>
  <sheetFormatPr defaultRowHeight="14.25" x14ac:dyDescent="0.2"/>
  <cols>
    <col min="1" max="1" width="2.875" style="34" customWidth="1"/>
    <col min="2" max="3" width="4.375" style="34" customWidth="1"/>
    <col min="4" max="4" width="11" style="34" customWidth="1"/>
    <col min="5" max="5" width="2.875" style="34" customWidth="1"/>
    <col min="6" max="6" width="34.625" style="34" customWidth="1"/>
    <col min="7" max="9" width="23.375" bestFit="1" customWidth="1"/>
    <col min="10" max="22" width="18" bestFit="1" customWidth="1"/>
    <col min="23" max="23" width="16.875" bestFit="1" customWidth="1"/>
  </cols>
  <sheetData>
    <row r="1" spans="1:23" ht="26.25" x14ac:dyDescent="0.4">
      <c r="A1" s="35" t="s">
        <v>90</v>
      </c>
      <c r="B1" s="36"/>
      <c r="C1" s="37"/>
      <c r="D1" s="37"/>
      <c r="E1" s="37"/>
      <c r="F1" s="36"/>
      <c r="G1" s="36"/>
    </row>
    <row r="2" spans="1:23" ht="26.25" x14ac:dyDescent="0.4">
      <c r="A2" s="35" t="s">
        <v>177</v>
      </c>
      <c r="B2" s="36"/>
      <c r="C2" s="37"/>
      <c r="D2" s="37"/>
      <c r="E2" s="37"/>
      <c r="F2" s="36"/>
      <c r="G2" s="36"/>
    </row>
    <row r="3" spans="1:23" ht="11.25" customHeight="1" thickBot="1" x14ac:dyDescent="0.25">
      <c r="A3" s="38"/>
      <c r="B3" s="38"/>
      <c r="C3" s="38"/>
      <c r="D3" s="38"/>
      <c r="E3" s="38"/>
      <c r="F3" s="38"/>
      <c r="G3" s="222"/>
    </row>
    <row r="4" spans="1:23" ht="27.75" thickTop="1" thickBot="1" x14ac:dyDescent="0.25">
      <c r="A4" s="40"/>
      <c r="B4" s="40"/>
      <c r="C4" s="40"/>
      <c r="D4" s="40" t="s">
        <v>45</v>
      </c>
      <c r="E4" s="40"/>
      <c r="F4" s="40"/>
      <c r="G4" s="269" t="s">
        <v>46</v>
      </c>
      <c r="H4" s="269"/>
      <c r="I4" s="269"/>
      <c r="J4" s="269"/>
      <c r="K4" s="269"/>
      <c r="L4" s="269"/>
      <c r="M4" s="269"/>
      <c r="N4" s="269"/>
      <c r="O4" s="269"/>
      <c r="P4" s="269"/>
      <c r="Q4" s="269"/>
      <c r="R4" s="269"/>
      <c r="S4" s="269"/>
      <c r="T4" s="269"/>
      <c r="U4" s="269"/>
      <c r="V4" s="269"/>
      <c r="W4" s="269"/>
    </row>
    <row r="5" spans="1:23" ht="21" thickTop="1" x14ac:dyDescent="0.2">
      <c r="A5" s="43"/>
      <c r="B5" s="43"/>
      <c r="C5" s="43"/>
      <c r="D5" s="43"/>
      <c r="E5" s="43"/>
      <c r="F5" s="43"/>
      <c r="G5" s="44"/>
      <c r="H5" s="44"/>
      <c r="I5" s="44"/>
      <c r="J5" s="44"/>
      <c r="K5" s="44"/>
      <c r="L5" s="44"/>
      <c r="M5" s="44"/>
      <c r="N5" s="44"/>
      <c r="O5" s="44"/>
      <c r="P5" s="44"/>
      <c r="Q5" s="44"/>
      <c r="R5" s="44"/>
      <c r="S5" s="44"/>
      <c r="T5" s="44"/>
      <c r="U5" s="44"/>
      <c r="V5" s="44"/>
      <c r="W5" s="44"/>
    </row>
    <row r="6" spans="1:23" ht="21" customHeight="1" thickBot="1" x14ac:dyDescent="0.35">
      <c r="A6" s="271"/>
      <c r="B6" s="868" t="s">
        <v>178</v>
      </c>
      <c r="C6" s="868"/>
      <c r="D6" s="868"/>
      <c r="E6" s="868"/>
      <c r="F6" s="868"/>
      <c r="G6" s="272">
        <v>42004</v>
      </c>
      <c r="H6" s="272">
        <v>41639</v>
      </c>
      <c r="I6" s="272">
        <v>41274</v>
      </c>
      <c r="J6" s="272">
        <v>41090</v>
      </c>
      <c r="K6" s="272">
        <v>40724</v>
      </c>
      <c r="L6" s="272">
        <v>40359</v>
      </c>
      <c r="M6" s="272">
        <v>39994</v>
      </c>
      <c r="N6" s="272">
        <v>39629</v>
      </c>
      <c r="O6" s="272">
        <v>39263</v>
      </c>
      <c r="P6" s="272">
        <v>38898</v>
      </c>
      <c r="Q6" s="272">
        <v>38533</v>
      </c>
      <c r="R6" s="272">
        <v>38168</v>
      </c>
      <c r="S6" s="272">
        <v>37802</v>
      </c>
      <c r="T6" s="272">
        <v>37437</v>
      </c>
      <c r="U6" s="272">
        <v>37072</v>
      </c>
      <c r="V6" s="272">
        <v>36707</v>
      </c>
      <c r="W6" s="272">
        <v>36341</v>
      </c>
    </row>
    <row r="7" spans="1:23" ht="20.25" x14ac:dyDescent="0.2">
      <c r="A7" s="43"/>
      <c r="B7" s="43"/>
      <c r="C7" s="43"/>
      <c r="D7" s="43"/>
      <c r="E7" s="43"/>
      <c r="F7" s="43"/>
      <c r="G7" s="44"/>
      <c r="H7" s="44"/>
      <c r="I7" s="44"/>
      <c r="J7" s="44"/>
      <c r="K7" s="44"/>
      <c r="L7" s="44"/>
      <c r="M7" s="44"/>
      <c r="N7" s="44"/>
      <c r="O7" s="44"/>
      <c r="P7" s="44"/>
      <c r="Q7" s="44"/>
      <c r="R7" s="44"/>
      <c r="S7" s="44"/>
      <c r="T7" s="44"/>
      <c r="U7" s="44"/>
      <c r="V7" s="44"/>
      <c r="W7" s="44"/>
    </row>
    <row r="8" spans="1:23" ht="20.25" x14ac:dyDescent="0.2">
      <c r="A8" s="43"/>
      <c r="B8" s="43"/>
      <c r="C8" s="43" t="s">
        <v>179</v>
      </c>
      <c r="D8" s="43"/>
      <c r="E8" s="43"/>
      <c r="F8" s="43"/>
      <c r="G8" s="160">
        <v>333525.67</v>
      </c>
      <c r="H8" s="160">
        <v>210919</v>
      </c>
      <c r="I8" s="160">
        <v>214148</v>
      </c>
      <c r="J8" s="160">
        <v>156809</v>
      </c>
      <c r="K8" s="160">
        <v>240314</v>
      </c>
      <c r="L8" s="160">
        <v>142815</v>
      </c>
      <c r="M8" s="160">
        <v>82502</v>
      </c>
      <c r="N8" s="160">
        <v>45758</v>
      </c>
      <c r="O8" s="160">
        <v>105458</v>
      </c>
      <c r="P8" s="160">
        <v>29475</v>
      </c>
      <c r="Q8" s="160">
        <v>22537</v>
      </c>
      <c r="R8" s="160">
        <v>42935</v>
      </c>
      <c r="S8" s="160">
        <v>144393</v>
      </c>
      <c r="T8" s="160">
        <v>42414</v>
      </c>
      <c r="U8" s="160">
        <f>69880+9123</f>
        <v>79003</v>
      </c>
      <c r="V8" s="160">
        <v>92767</v>
      </c>
      <c r="W8" s="160">
        <v>13150</v>
      </c>
    </row>
    <row r="9" spans="1:23" ht="20.25" x14ac:dyDescent="0.2">
      <c r="A9" s="47"/>
      <c r="B9" s="47"/>
      <c r="C9" s="43" t="s">
        <v>180</v>
      </c>
      <c r="D9" s="47"/>
      <c r="E9" s="47"/>
      <c r="F9" s="47"/>
      <c r="G9" s="186">
        <v>247907.12</v>
      </c>
      <c r="H9" s="186">
        <v>311775</v>
      </c>
      <c r="I9" s="186">
        <v>243797</v>
      </c>
      <c r="J9" s="186">
        <v>347870</v>
      </c>
      <c r="K9" s="186">
        <v>298266</v>
      </c>
      <c r="L9" s="186">
        <v>296605</v>
      </c>
      <c r="M9" s="186">
        <v>349918</v>
      </c>
      <c r="N9" s="186">
        <v>366842</v>
      </c>
      <c r="O9" s="186">
        <v>209667</v>
      </c>
      <c r="P9" s="186">
        <v>234735</v>
      </c>
      <c r="Q9" s="186">
        <v>254712</v>
      </c>
      <c r="R9" s="186">
        <v>250225</v>
      </c>
      <c r="S9" s="186">
        <v>85795</v>
      </c>
      <c r="T9" s="186">
        <v>185461</v>
      </c>
      <c r="U9" s="186">
        <v>99322</v>
      </c>
      <c r="V9" s="186">
        <v>80619</v>
      </c>
      <c r="W9" s="186">
        <v>49127</v>
      </c>
    </row>
    <row r="10" spans="1:23" ht="20.25" x14ac:dyDescent="0.2">
      <c r="A10" s="47"/>
      <c r="B10" s="47"/>
      <c r="C10" s="869" t="s">
        <v>155</v>
      </c>
      <c r="D10" s="869"/>
      <c r="E10" s="869"/>
      <c r="F10" s="869"/>
      <c r="G10" s="186">
        <v>0</v>
      </c>
      <c r="H10" s="186">
        <v>5142</v>
      </c>
      <c r="I10" s="186"/>
      <c r="J10" s="186"/>
      <c r="K10" s="186"/>
      <c r="L10" s="186"/>
      <c r="M10" s="186"/>
      <c r="N10" s="186"/>
      <c r="O10" s="186"/>
      <c r="P10" s="186"/>
      <c r="Q10" s="186"/>
      <c r="R10" s="186">
        <v>23</v>
      </c>
      <c r="S10" s="186">
        <v>4823</v>
      </c>
      <c r="T10" s="186">
        <v>6130</v>
      </c>
      <c r="U10" s="186">
        <v>19833</v>
      </c>
      <c r="V10" s="186"/>
      <c r="W10" s="186"/>
    </row>
    <row r="11" spans="1:23" ht="20.25" x14ac:dyDescent="0.2">
      <c r="A11" s="47"/>
      <c r="B11" s="47"/>
      <c r="C11" s="43" t="s">
        <v>181</v>
      </c>
      <c r="D11" s="47"/>
      <c r="E11" s="47"/>
      <c r="F11" s="47"/>
      <c r="G11" s="151">
        <v>31129.64</v>
      </c>
      <c r="H11" s="151">
        <v>30012</v>
      </c>
      <c r="I11" s="151">
        <v>30964</v>
      </c>
      <c r="J11" s="151">
        <v>30506</v>
      </c>
      <c r="K11" s="151">
        <v>28900</v>
      </c>
      <c r="L11" s="151">
        <v>28036</v>
      </c>
      <c r="M11" s="151"/>
      <c r="N11" s="151"/>
      <c r="O11" s="151"/>
      <c r="P11" s="151"/>
      <c r="Q11" s="151"/>
      <c r="R11" s="151"/>
      <c r="S11" s="151"/>
      <c r="T11" s="151"/>
      <c r="U11" s="151"/>
      <c r="V11" s="151"/>
      <c r="W11" s="151"/>
    </row>
    <row r="12" spans="1:23" ht="20.25" x14ac:dyDescent="0.2">
      <c r="A12" s="47"/>
      <c r="B12" s="47"/>
      <c r="C12" s="43" t="s">
        <v>152</v>
      </c>
      <c r="D12" s="48"/>
      <c r="E12" s="48"/>
      <c r="F12" s="48"/>
      <c r="G12" s="153">
        <v>5968.8799999999992</v>
      </c>
      <c r="H12" s="153">
        <v>4730</v>
      </c>
      <c r="I12" s="153">
        <v>3598</v>
      </c>
      <c r="J12" s="153">
        <f>1663+577</f>
        <v>2240</v>
      </c>
      <c r="K12" s="153">
        <f>5202</f>
        <v>5202</v>
      </c>
      <c r="L12" s="153">
        <v>1840</v>
      </c>
      <c r="M12" s="153">
        <v>1427</v>
      </c>
      <c r="N12" s="153">
        <v>360</v>
      </c>
      <c r="O12" s="153">
        <v>312</v>
      </c>
      <c r="P12" s="153"/>
      <c r="Q12" s="153">
        <v>5593</v>
      </c>
      <c r="R12" s="153">
        <v>3952</v>
      </c>
      <c r="S12" s="153">
        <v>13154</v>
      </c>
      <c r="T12" s="153">
        <v>2441</v>
      </c>
      <c r="U12" s="153"/>
      <c r="V12" s="153"/>
      <c r="W12" s="153"/>
    </row>
    <row r="13" spans="1:23" ht="20.25" x14ac:dyDescent="0.2">
      <c r="A13" s="43"/>
      <c r="B13" s="43"/>
      <c r="C13" s="43" t="s">
        <v>53</v>
      </c>
      <c r="D13" s="43"/>
      <c r="E13" s="43"/>
      <c r="F13" s="43"/>
      <c r="G13" s="154">
        <f>SUM(G8:G12)</f>
        <v>618531.31000000006</v>
      </c>
      <c r="H13" s="154">
        <f>SUM(H8:H12)</f>
        <v>562578</v>
      </c>
      <c r="I13" s="154">
        <f>SUM(I8:I12)</f>
        <v>492507</v>
      </c>
      <c r="J13" s="154">
        <f>SUM(J8:J12)</f>
        <v>537425</v>
      </c>
      <c r="K13" s="154">
        <f>SUM(K8:K12)</f>
        <v>572682</v>
      </c>
      <c r="L13" s="154">
        <f t="shared" ref="L13:W13" si="0">SUM(L8:L12)</f>
        <v>469296</v>
      </c>
      <c r="M13" s="154">
        <f t="shared" si="0"/>
        <v>433847</v>
      </c>
      <c r="N13" s="154">
        <f t="shared" si="0"/>
        <v>412960</v>
      </c>
      <c r="O13" s="154">
        <f t="shared" si="0"/>
        <v>315437</v>
      </c>
      <c r="P13" s="154">
        <f t="shared" si="0"/>
        <v>264210</v>
      </c>
      <c r="Q13" s="154">
        <f t="shared" si="0"/>
        <v>282842</v>
      </c>
      <c r="R13" s="154">
        <f t="shared" si="0"/>
        <v>297135</v>
      </c>
      <c r="S13" s="154">
        <f t="shared" si="0"/>
        <v>248165</v>
      </c>
      <c r="T13" s="154">
        <f t="shared" si="0"/>
        <v>236446</v>
      </c>
      <c r="U13" s="154">
        <f t="shared" si="0"/>
        <v>198158</v>
      </c>
      <c r="V13" s="154">
        <f t="shared" si="0"/>
        <v>173386</v>
      </c>
      <c r="W13" s="154">
        <f t="shared" si="0"/>
        <v>62277</v>
      </c>
    </row>
    <row r="14" spans="1:23" ht="20.25" x14ac:dyDescent="0.2">
      <c r="A14" s="43"/>
      <c r="B14" s="43"/>
      <c r="C14" s="43"/>
      <c r="D14" s="43"/>
      <c r="E14" s="43"/>
      <c r="F14" s="43"/>
      <c r="G14" s="154"/>
      <c r="H14" s="154"/>
      <c r="I14" s="154"/>
      <c r="J14" s="154"/>
      <c r="K14" s="154"/>
      <c r="L14" s="154"/>
      <c r="M14" s="154"/>
      <c r="N14" s="154"/>
      <c r="O14" s="154"/>
      <c r="P14" s="154"/>
      <c r="Q14" s="154"/>
      <c r="R14" s="154"/>
      <c r="S14" s="154"/>
      <c r="T14" s="154"/>
      <c r="U14" s="154"/>
      <c r="V14" s="154"/>
      <c r="W14" s="154"/>
    </row>
    <row r="15" spans="1:23" ht="20.25" x14ac:dyDescent="0.3">
      <c r="A15" s="45"/>
      <c r="B15" s="45" t="s">
        <v>182</v>
      </c>
      <c r="C15" s="45"/>
      <c r="D15" s="45"/>
      <c r="E15" s="45"/>
      <c r="F15" s="45"/>
      <c r="G15" s="175"/>
      <c r="H15" s="175"/>
      <c r="I15" s="175"/>
      <c r="J15" s="175"/>
      <c r="K15" s="175"/>
      <c r="L15" s="175"/>
      <c r="M15" s="175"/>
      <c r="N15" s="175"/>
      <c r="O15" s="175"/>
      <c r="P15" s="175"/>
      <c r="Q15" s="175"/>
      <c r="R15" s="175"/>
      <c r="S15" s="175"/>
      <c r="T15" s="175"/>
      <c r="U15" s="175"/>
      <c r="V15" s="175"/>
      <c r="W15" s="175"/>
    </row>
    <row r="16" spans="1:23" ht="20.25" x14ac:dyDescent="0.3">
      <c r="A16" s="45"/>
      <c r="B16" s="45"/>
      <c r="C16" s="45"/>
      <c r="D16" s="45"/>
      <c r="E16" s="45"/>
      <c r="F16" s="45"/>
      <c r="G16" s="175">
        <v>121148.45000000001</v>
      </c>
      <c r="H16" s="175">
        <v>88948</v>
      </c>
      <c r="I16" s="175">
        <v>81381</v>
      </c>
      <c r="J16" s="175">
        <v>85951</v>
      </c>
      <c r="K16" s="175">
        <v>75213</v>
      </c>
      <c r="L16" s="175">
        <v>103757</v>
      </c>
      <c r="M16" s="175">
        <v>72661</v>
      </c>
      <c r="N16" s="175">
        <v>91918</v>
      </c>
      <c r="O16" s="175">
        <v>80411</v>
      </c>
      <c r="P16" s="175">
        <v>57354</v>
      </c>
      <c r="Q16" s="175">
        <v>59451</v>
      </c>
      <c r="R16" s="175">
        <v>70947</v>
      </c>
      <c r="S16" s="175">
        <v>80279</v>
      </c>
      <c r="T16" s="175">
        <v>84266</v>
      </c>
      <c r="U16" s="175">
        <v>45164</v>
      </c>
      <c r="V16" s="175">
        <v>15210</v>
      </c>
      <c r="W16" s="175">
        <v>15599</v>
      </c>
    </row>
    <row r="17" spans="1:23" ht="20.25" hidden="1" x14ac:dyDescent="0.2">
      <c r="A17" s="43"/>
      <c r="B17" s="43"/>
      <c r="C17" s="43"/>
      <c r="D17" s="43"/>
      <c r="E17" s="43"/>
      <c r="F17" s="43"/>
      <c r="G17" s="154"/>
      <c r="H17" s="154"/>
      <c r="I17" s="154"/>
      <c r="J17" s="154"/>
      <c r="K17" s="154"/>
      <c r="L17" s="154"/>
      <c r="M17" s="154"/>
      <c r="N17" s="154"/>
      <c r="O17" s="154"/>
      <c r="P17" s="154"/>
      <c r="Q17" s="154"/>
      <c r="R17" s="154"/>
      <c r="S17" s="154"/>
      <c r="T17" s="154"/>
      <c r="U17" s="154"/>
      <c r="V17" s="154"/>
      <c r="W17" s="154"/>
    </row>
    <row r="18" spans="1:23" ht="20.25" hidden="1" x14ac:dyDescent="0.2">
      <c r="A18" s="43"/>
      <c r="B18" s="43"/>
      <c r="C18" s="43"/>
      <c r="D18" s="43"/>
      <c r="E18" s="43"/>
      <c r="F18" s="43"/>
      <c r="G18" s="151"/>
      <c r="H18" s="151"/>
      <c r="I18" s="151"/>
      <c r="J18" s="151"/>
      <c r="K18" s="151"/>
      <c r="L18" s="151"/>
      <c r="M18" s="151"/>
      <c r="N18" s="151"/>
      <c r="O18" s="151"/>
      <c r="P18" s="151"/>
      <c r="Q18" s="151"/>
      <c r="R18" s="151"/>
      <c r="S18" s="151"/>
      <c r="T18" s="151"/>
      <c r="U18" s="151"/>
      <c r="V18" s="151"/>
      <c r="W18" s="151"/>
    </row>
    <row r="19" spans="1:23" ht="27" thickBot="1" x14ac:dyDescent="0.25">
      <c r="A19" s="50" t="s">
        <v>55</v>
      </c>
      <c r="B19" s="50"/>
      <c r="C19" s="50"/>
      <c r="D19" s="50"/>
      <c r="E19" s="50"/>
      <c r="F19" s="50"/>
      <c r="G19" s="161">
        <f>G13+G16</f>
        <v>739679.76</v>
      </c>
      <c r="H19" s="161">
        <f>H13+H16</f>
        <v>651526</v>
      </c>
      <c r="I19" s="161">
        <f>I13+I16</f>
        <v>573888</v>
      </c>
      <c r="J19" s="161">
        <f>J13+J16</f>
        <v>623376</v>
      </c>
      <c r="K19" s="161">
        <f>K13+K16</f>
        <v>647895</v>
      </c>
      <c r="L19" s="161">
        <f t="shared" ref="L19:W19" si="1">L13+L16</f>
        <v>573053</v>
      </c>
      <c r="M19" s="161">
        <f t="shared" si="1"/>
        <v>506508</v>
      </c>
      <c r="N19" s="161">
        <f t="shared" si="1"/>
        <v>504878</v>
      </c>
      <c r="O19" s="161">
        <f t="shared" si="1"/>
        <v>395848</v>
      </c>
      <c r="P19" s="161">
        <f t="shared" si="1"/>
        <v>321564</v>
      </c>
      <c r="Q19" s="161">
        <f t="shared" si="1"/>
        <v>342293</v>
      </c>
      <c r="R19" s="161">
        <f t="shared" si="1"/>
        <v>368082</v>
      </c>
      <c r="S19" s="161">
        <f t="shared" si="1"/>
        <v>328444</v>
      </c>
      <c r="T19" s="161">
        <f t="shared" si="1"/>
        <v>320712</v>
      </c>
      <c r="U19" s="161">
        <f t="shared" si="1"/>
        <v>243322</v>
      </c>
      <c r="V19" s="161">
        <f t="shared" si="1"/>
        <v>188596</v>
      </c>
      <c r="W19" s="161">
        <f t="shared" si="1"/>
        <v>77876</v>
      </c>
    </row>
    <row r="20" spans="1:23" ht="21.75" thickTop="1" thickBot="1" x14ac:dyDescent="0.25">
      <c r="A20" s="43"/>
      <c r="B20" s="43"/>
      <c r="C20" s="43"/>
      <c r="D20" s="43"/>
      <c r="E20" s="43"/>
      <c r="F20" s="43"/>
      <c r="G20" s="226"/>
      <c r="H20" s="226"/>
      <c r="I20" s="226"/>
      <c r="J20" s="226"/>
      <c r="K20" s="226"/>
      <c r="L20" s="226"/>
      <c r="M20" s="226"/>
      <c r="N20" s="226"/>
      <c r="O20" s="226"/>
      <c r="P20" s="226"/>
      <c r="Q20" s="226"/>
      <c r="R20" s="226"/>
      <c r="S20" s="226"/>
      <c r="T20" s="226"/>
      <c r="U20" s="226"/>
      <c r="V20" s="226"/>
      <c r="W20" s="226"/>
    </row>
    <row r="21" spans="1:23" ht="27.75" thickTop="1" thickBot="1" x14ac:dyDescent="0.25">
      <c r="A21" s="40"/>
      <c r="B21" s="40"/>
      <c r="C21" s="40"/>
      <c r="D21" s="40" t="s">
        <v>56</v>
      </c>
      <c r="E21" s="40"/>
      <c r="F21" s="40"/>
      <c r="G21" s="157"/>
      <c r="H21" s="157"/>
      <c r="I21" s="157"/>
      <c r="J21" s="157"/>
      <c r="K21" s="157"/>
      <c r="L21" s="157"/>
      <c r="M21" s="157"/>
      <c r="N21" s="157"/>
      <c r="O21" s="157"/>
      <c r="P21" s="157"/>
      <c r="Q21" s="157"/>
      <c r="R21" s="157"/>
      <c r="S21" s="157"/>
      <c r="T21" s="157"/>
      <c r="U21" s="157"/>
      <c r="V21" s="157"/>
      <c r="W21" s="157"/>
    </row>
    <row r="22" spans="1:23" ht="21" thickTop="1" x14ac:dyDescent="0.2">
      <c r="A22" s="43"/>
      <c r="B22" s="43"/>
      <c r="C22" s="43"/>
      <c r="D22" s="43"/>
      <c r="E22" s="43"/>
      <c r="F22" s="43"/>
      <c r="G22" s="151"/>
      <c r="H22" s="151"/>
      <c r="I22" s="151"/>
      <c r="J22" s="151"/>
      <c r="K22" s="151"/>
      <c r="L22" s="151"/>
      <c r="M22" s="151"/>
      <c r="N22" s="151"/>
      <c r="O22" s="151"/>
      <c r="P22" s="151"/>
      <c r="Q22" s="151"/>
      <c r="R22" s="151"/>
      <c r="S22" s="151"/>
      <c r="T22" s="151"/>
      <c r="U22" s="151"/>
      <c r="V22" s="151"/>
      <c r="W22" s="151"/>
    </row>
    <row r="23" spans="1:23" ht="24" hidden="1" thickBot="1" x14ac:dyDescent="0.25">
      <c r="A23" s="43"/>
      <c r="B23" s="54" t="s">
        <v>57</v>
      </c>
      <c r="C23" s="55"/>
      <c r="D23" s="55"/>
      <c r="E23" s="55"/>
      <c r="F23" s="55"/>
      <c r="G23" s="158"/>
      <c r="H23" s="158"/>
      <c r="I23" s="158"/>
      <c r="J23" s="158"/>
      <c r="K23" s="158"/>
      <c r="L23" s="158"/>
      <c r="M23" s="158"/>
      <c r="N23" s="158"/>
      <c r="O23" s="158"/>
      <c r="P23" s="158"/>
      <c r="Q23" s="158"/>
      <c r="R23" s="158"/>
      <c r="S23" s="158"/>
      <c r="T23" s="158"/>
      <c r="U23" s="158"/>
      <c r="V23" s="158"/>
      <c r="W23" s="158"/>
    </row>
    <row r="24" spans="1:23" ht="20.25" hidden="1" x14ac:dyDescent="0.2">
      <c r="A24" s="43"/>
      <c r="B24" s="43"/>
      <c r="C24" s="43"/>
      <c r="D24" s="43"/>
      <c r="E24" s="43"/>
      <c r="F24" s="43"/>
      <c r="G24" s="151"/>
      <c r="H24" s="151"/>
      <c r="I24" s="151"/>
      <c r="J24" s="151"/>
      <c r="K24" s="151"/>
      <c r="L24" s="151"/>
      <c r="M24" s="151"/>
      <c r="N24" s="151"/>
      <c r="O24" s="151"/>
      <c r="P24" s="151"/>
      <c r="Q24" s="151"/>
      <c r="R24" s="151"/>
      <c r="S24" s="151"/>
      <c r="T24" s="151"/>
      <c r="U24" s="151"/>
      <c r="V24" s="151"/>
      <c r="W24" s="151"/>
    </row>
    <row r="25" spans="1:23" ht="21" thickBot="1" x14ac:dyDescent="0.35">
      <c r="A25" s="45"/>
      <c r="B25" s="98" t="s">
        <v>183</v>
      </c>
      <c r="C25" s="99"/>
      <c r="D25" s="98"/>
      <c r="E25" s="98"/>
      <c r="F25" s="98"/>
      <c r="G25" s="152"/>
      <c r="H25" s="152"/>
      <c r="I25" s="152"/>
      <c r="J25" s="152"/>
      <c r="K25" s="152"/>
      <c r="L25" s="152"/>
      <c r="M25" s="152"/>
      <c r="N25" s="152"/>
      <c r="O25" s="152"/>
      <c r="P25" s="152"/>
      <c r="Q25" s="152"/>
      <c r="R25" s="152"/>
      <c r="S25" s="152"/>
      <c r="T25" s="152"/>
      <c r="U25" s="152"/>
      <c r="V25" s="152"/>
      <c r="W25" s="152"/>
    </row>
    <row r="26" spans="1:23" ht="20.25" x14ac:dyDescent="0.2">
      <c r="A26" s="47"/>
      <c r="B26" s="47"/>
      <c r="C26" s="47"/>
      <c r="D26" s="47" t="s">
        <v>145</v>
      </c>
      <c r="E26" s="44"/>
      <c r="F26" s="47"/>
      <c r="G26" s="160">
        <v>31278.429999999997</v>
      </c>
      <c r="H26" s="160">
        <v>51714</v>
      </c>
      <c r="I26" s="160">
        <v>52083</v>
      </c>
      <c r="J26" s="160">
        <v>69820</v>
      </c>
      <c r="K26" s="160">
        <v>81032</v>
      </c>
      <c r="L26" s="160">
        <v>64928</v>
      </c>
      <c r="M26" s="160">
        <v>89064</v>
      </c>
      <c r="N26" s="160">
        <v>102814</v>
      </c>
      <c r="O26" s="160">
        <v>27734</v>
      </c>
      <c r="P26" s="160">
        <v>33537</v>
      </c>
      <c r="Q26" s="160">
        <v>47914</v>
      </c>
      <c r="R26" s="160">
        <v>42054</v>
      </c>
      <c r="S26" s="160">
        <v>32004</v>
      </c>
      <c r="T26" s="160">
        <v>28904</v>
      </c>
      <c r="U26" s="160">
        <v>2405</v>
      </c>
      <c r="V26" s="160">
        <v>7686</v>
      </c>
      <c r="W26" s="160">
        <v>0</v>
      </c>
    </row>
    <row r="27" spans="1:23" ht="20.25" x14ac:dyDescent="0.2">
      <c r="A27" s="47"/>
      <c r="B27" s="47"/>
      <c r="C27" s="47"/>
      <c r="D27" s="47" t="s">
        <v>184</v>
      </c>
      <c r="E27" s="44"/>
      <c r="F27" s="47"/>
      <c r="G27" s="151">
        <v>16019.88</v>
      </c>
      <c r="H27" s="151">
        <v>26466</v>
      </c>
      <c r="I27" s="151">
        <v>33722</v>
      </c>
      <c r="J27" s="151">
        <v>37279</v>
      </c>
      <c r="K27" s="151">
        <v>34130</v>
      </c>
      <c r="L27" s="151">
        <v>30917</v>
      </c>
      <c r="M27" s="151">
        <v>24891</v>
      </c>
      <c r="N27" s="151">
        <v>22167</v>
      </c>
      <c r="O27" s="151">
        <v>16739</v>
      </c>
      <c r="P27" s="151">
        <v>13502</v>
      </c>
      <c r="Q27" s="151">
        <v>10581</v>
      </c>
      <c r="R27" s="151">
        <v>28556</v>
      </c>
      <c r="S27" s="151">
        <v>22953</v>
      </c>
      <c r="T27" s="151">
        <v>13246</v>
      </c>
      <c r="U27" s="151">
        <v>10214</v>
      </c>
      <c r="V27" s="151">
        <v>5966</v>
      </c>
      <c r="W27" s="151">
        <v>2341</v>
      </c>
    </row>
    <row r="28" spans="1:23" ht="20.25" x14ac:dyDescent="0.2">
      <c r="A28" s="47"/>
      <c r="B28" s="47"/>
      <c r="C28" s="47"/>
      <c r="D28" s="47" t="s">
        <v>84</v>
      </c>
      <c r="E28" s="44"/>
      <c r="F28" s="47"/>
      <c r="G28" s="151">
        <v>19094</v>
      </c>
      <c r="H28" s="151">
        <v>21990</v>
      </c>
      <c r="I28" s="151">
        <v>17053</v>
      </c>
      <c r="J28" s="151">
        <v>23081</v>
      </c>
      <c r="K28" s="151">
        <v>20125</v>
      </c>
      <c r="L28" s="151">
        <v>23900</v>
      </c>
      <c r="M28" s="151">
        <v>25993</v>
      </c>
      <c r="N28" s="151">
        <v>25084</v>
      </c>
      <c r="O28" s="151">
        <v>17164</v>
      </c>
      <c r="P28" s="151">
        <v>23194</v>
      </c>
      <c r="Q28" s="151">
        <v>17986</v>
      </c>
      <c r="R28" s="151">
        <v>19684</v>
      </c>
      <c r="S28" s="151">
        <v>15461</v>
      </c>
      <c r="T28" s="151">
        <v>11736</v>
      </c>
      <c r="U28" s="151">
        <v>6552</v>
      </c>
      <c r="V28" s="151">
        <v>4625</v>
      </c>
      <c r="W28" s="151"/>
    </row>
    <row r="29" spans="1:23" ht="20.25" x14ac:dyDescent="0.2">
      <c r="A29" s="47"/>
      <c r="B29" s="47"/>
      <c r="C29" s="47"/>
      <c r="D29" s="47" t="s">
        <v>185</v>
      </c>
      <c r="E29" s="44"/>
      <c r="F29" s="47"/>
      <c r="G29" s="151"/>
      <c r="H29" s="151">
        <v>463</v>
      </c>
      <c r="I29" s="151">
        <f>1236+16400</f>
        <v>17636</v>
      </c>
      <c r="J29" s="151">
        <v>13302</v>
      </c>
      <c r="K29" s="151">
        <v>5311</v>
      </c>
      <c r="L29" s="151">
        <v>12315</v>
      </c>
      <c r="M29" s="151"/>
      <c r="N29" s="151"/>
      <c r="O29" s="151"/>
      <c r="P29" s="151">
        <v>20000</v>
      </c>
      <c r="Q29" s="151"/>
      <c r="R29" s="151">
        <v>25000</v>
      </c>
      <c r="S29" s="151"/>
      <c r="T29" s="151"/>
      <c r="U29" s="151"/>
      <c r="V29" s="151"/>
      <c r="W29" s="151">
        <v>48000</v>
      </c>
    </row>
    <row r="30" spans="1:23" ht="20.25" x14ac:dyDescent="0.2">
      <c r="A30" s="47"/>
      <c r="B30" s="47"/>
      <c r="C30" s="47"/>
      <c r="D30" s="47" t="s">
        <v>91</v>
      </c>
      <c r="E30" s="44"/>
      <c r="F30" s="47"/>
      <c r="G30" s="151">
        <v>136592.41</v>
      </c>
      <c r="H30" s="151">
        <v>101837</v>
      </c>
      <c r="I30" s="151">
        <v>31429</v>
      </c>
      <c r="J30" s="151">
        <v>21927</v>
      </c>
      <c r="K30" s="151">
        <v>24493</v>
      </c>
      <c r="L30" s="151">
        <v>23546</v>
      </c>
      <c r="M30" s="151">
        <v>29986</v>
      </c>
      <c r="N30" s="151">
        <v>97627</v>
      </c>
      <c r="O30" s="151">
        <v>91085</v>
      </c>
      <c r="P30" s="151">
        <v>6118</v>
      </c>
      <c r="Q30" s="151">
        <v>42621</v>
      </c>
      <c r="R30" s="151"/>
      <c r="S30" s="151">
        <v>13218</v>
      </c>
      <c r="T30" s="151">
        <v>36938</v>
      </c>
      <c r="U30" s="151">
        <v>40000</v>
      </c>
      <c r="V30" s="151">
        <v>38354</v>
      </c>
      <c r="W30" s="151">
        <v>11775</v>
      </c>
    </row>
    <row r="31" spans="1:23" ht="20.25" x14ac:dyDescent="0.2">
      <c r="A31" s="47"/>
      <c r="B31" s="47"/>
      <c r="C31" s="47"/>
      <c r="D31" s="48" t="s">
        <v>186</v>
      </c>
      <c r="E31" s="97"/>
      <c r="F31" s="48"/>
      <c r="G31" s="151"/>
      <c r="H31" s="151"/>
      <c r="I31" s="151"/>
      <c r="J31" s="151"/>
      <c r="K31" s="151"/>
      <c r="L31" s="151"/>
      <c r="M31" s="151"/>
      <c r="N31" s="151"/>
      <c r="O31" s="151"/>
      <c r="P31" s="151"/>
      <c r="Q31" s="151"/>
      <c r="R31" s="151"/>
      <c r="S31" s="151"/>
      <c r="T31" s="151"/>
      <c r="U31" s="151"/>
      <c r="V31" s="151"/>
      <c r="W31" s="151"/>
    </row>
    <row r="32" spans="1:23" ht="20.25" x14ac:dyDescent="0.2">
      <c r="A32" s="47"/>
      <c r="B32" s="47"/>
      <c r="C32" s="49" t="s">
        <v>68</v>
      </c>
      <c r="D32" s="47"/>
      <c r="E32" s="44"/>
      <c r="F32" s="47"/>
      <c r="G32" s="159">
        <f>SUM(G26:G31)</f>
        <v>202984.72</v>
      </c>
      <c r="H32" s="159">
        <f>SUM(H26:H31)</f>
        <v>202470</v>
      </c>
      <c r="I32" s="159">
        <f>SUM(I26:I31)</f>
        <v>151923</v>
      </c>
      <c r="J32" s="159">
        <f>SUM(J26:J31)</f>
        <v>165409</v>
      </c>
      <c r="K32" s="159">
        <f>SUM(K26:K31)</f>
        <v>165091</v>
      </c>
      <c r="L32" s="159">
        <f t="shared" ref="L32:W32" si="2">SUM(L26:L31)</f>
        <v>155606</v>
      </c>
      <c r="M32" s="159">
        <f t="shared" si="2"/>
        <v>169934</v>
      </c>
      <c r="N32" s="159">
        <f t="shared" si="2"/>
        <v>247692</v>
      </c>
      <c r="O32" s="159">
        <f t="shared" si="2"/>
        <v>152722</v>
      </c>
      <c r="P32" s="159">
        <f t="shared" si="2"/>
        <v>96351</v>
      </c>
      <c r="Q32" s="159">
        <f t="shared" si="2"/>
        <v>119102</v>
      </c>
      <c r="R32" s="159">
        <f t="shared" si="2"/>
        <v>115294</v>
      </c>
      <c r="S32" s="159">
        <f t="shared" si="2"/>
        <v>83636</v>
      </c>
      <c r="T32" s="159">
        <f t="shared" si="2"/>
        <v>90824</v>
      </c>
      <c r="U32" s="159">
        <f t="shared" si="2"/>
        <v>59171</v>
      </c>
      <c r="V32" s="159">
        <f t="shared" si="2"/>
        <v>56631</v>
      </c>
      <c r="W32" s="159">
        <f t="shared" si="2"/>
        <v>62116</v>
      </c>
    </row>
    <row r="33" spans="1:23" ht="20.25" x14ac:dyDescent="0.2">
      <c r="A33" s="47"/>
      <c r="B33" s="47"/>
      <c r="C33" s="47"/>
      <c r="D33" s="47"/>
      <c r="E33" s="47"/>
      <c r="F33" s="47"/>
      <c r="G33" s="151"/>
      <c r="H33" s="151"/>
      <c r="I33" s="151"/>
      <c r="J33" s="151"/>
      <c r="K33" s="151"/>
      <c r="L33" s="151"/>
      <c r="M33" s="151"/>
      <c r="N33" s="151"/>
      <c r="O33" s="151"/>
      <c r="P33" s="151"/>
      <c r="Q33" s="151"/>
      <c r="R33" s="151"/>
      <c r="S33" s="151"/>
      <c r="T33" s="151"/>
      <c r="U33" s="151"/>
      <c r="V33" s="151"/>
      <c r="W33" s="151"/>
    </row>
    <row r="34" spans="1:23" ht="20.25" x14ac:dyDescent="0.2">
      <c r="A34" s="43"/>
      <c r="B34" s="43"/>
      <c r="C34" s="43"/>
      <c r="D34" s="43"/>
      <c r="E34" s="43"/>
      <c r="F34" s="43"/>
      <c r="G34" s="273"/>
      <c r="H34" s="273"/>
      <c r="I34" s="273"/>
      <c r="J34" s="273"/>
      <c r="K34" s="273"/>
      <c r="L34" s="154"/>
      <c r="M34" s="154"/>
      <c r="N34" s="154"/>
      <c r="O34" s="154"/>
      <c r="P34" s="154"/>
      <c r="Q34" s="154"/>
      <c r="R34" s="154"/>
      <c r="S34" s="154"/>
      <c r="T34" s="154"/>
      <c r="U34" s="154"/>
      <c r="V34" s="154"/>
      <c r="W34" s="154"/>
    </row>
    <row r="35" spans="1:23" ht="24" thickBot="1" x14ac:dyDescent="0.25">
      <c r="A35" s="43"/>
      <c r="B35" s="54" t="s">
        <v>187</v>
      </c>
      <c r="C35" s="55"/>
      <c r="D35" s="55"/>
      <c r="E35" s="55"/>
      <c r="F35" s="55"/>
      <c r="G35" s="158"/>
      <c r="H35" s="158"/>
      <c r="I35" s="158"/>
      <c r="J35" s="158"/>
      <c r="K35" s="158"/>
      <c r="L35" s="158"/>
      <c r="M35" s="158"/>
      <c r="N35" s="158"/>
      <c r="O35" s="158"/>
      <c r="P35" s="158"/>
      <c r="Q35" s="158"/>
      <c r="R35" s="158"/>
      <c r="S35" s="158"/>
      <c r="T35" s="158"/>
      <c r="U35" s="158"/>
      <c r="V35" s="158"/>
      <c r="W35" s="158"/>
    </row>
    <row r="36" spans="1:23" ht="23.25" x14ac:dyDescent="0.2">
      <c r="A36" s="43"/>
      <c r="B36" s="179"/>
      <c r="C36" s="43"/>
      <c r="D36" s="47" t="s">
        <v>87</v>
      </c>
      <c r="E36" s="43"/>
      <c r="F36" s="43"/>
      <c r="G36" s="151">
        <v>55367.21</v>
      </c>
      <c r="H36" s="151">
        <v>52578</v>
      </c>
      <c r="I36" s="151">
        <v>54372</v>
      </c>
      <c r="J36" s="151">
        <v>74343</v>
      </c>
      <c r="K36" s="151">
        <v>140489</v>
      </c>
      <c r="L36" s="151">
        <v>85282</v>
      </c>
      <c r="M36" s="151">
        <v>9601</v>
      </c>
      <c r="N36" s="151">
        <v>9601</v>
      </c>
      <c r="O36" s="151">
        <v>5248</v>
      </c>
      <c r="P36" s="151">
        <v>4472</v>
      </c>
      <c r="Q36" s="151">
        <v>15207</v>
      </c>
      <c r="R36" s="151"/>
      <c r="S36" s="151"/>
      <c r="T36" s="151"/>
      <c r="U36" s="151"/>
      <c r="V36" s="151"/>
      <c r="W36" s="151"/>
    </row>
    <row r="37" spans="1:23" ht="21" thickBot="1" x14ac:dyDescent="0.25">
      <c r="A37" s="47"/>
      <c r="B37" s="47"/>
      <c r="C37" s="44"/>
      <c r="D37" s="47" t="s">
        <v>81</v>
      </c>
      <c r="E37" s="270"/>
      <c r="F37" s="270"/>
      <c r="G37" s="158">
        <v>481327.83000000013</v>
      </c>
      <c r="H37" s="158">
        <v>396478</v>
      </c>
      <c r="I37" s="158">
        <v>367593</v>
      </c>
      <c r="J37" s="158">
        <v>383624</v>
      </c>
      <c r="K37" s="158">
        <v>342315</v>
      </c>
      <c r="L37" s="158">
        <v>332165</v>
      </c>
      <c r="M37" s="158">
        <v>326973</v>
      </c>
      <c r="N37" s="158">
        <v>247585</v>
      </c>
      <c r="O37" s="158">
        <v>237878</v>
      </c>
      <c r="P37" s="158">
        <v>220741</v>
      </c>
      <c r="Q37" s="158">
        <v>207984</v>
      </c>
      <c r="R37" s="158">
        <v>252788</v>
      </c>
      <c r="S37" s="158">
        <v>244808</v>
      </c>
      <c r="T37" s="158">
        <v>229888</v>
      </c>
      <c r="U37" s="158">
        <v>184151</v>
      </c>
      <c r="V37" s="158">
        <v>131965</v>
      </c>
      <c r="W37" s="158">
        <v>15760</v>
      </c>
    </row>
    <row r="38" spans="1:23" ht="23.25" x14ac:dyDescent="0.2">
      <c r="A38" s="43"/>
      <c r="B38" s="57" t="s">
        <v>60</v>
      </c>
      <c r="C38" s="58"/>
      <c r="D38" s="58"/>
      <c r="E38" s="43"/>
      <c r="F38" s="43"/>
      <c r="G38" s="154">
        <f>G36+G37</f>
        <v>536695.04000000015</v>
      </c>
      <c r="H38" s="154">
        <f>H36+H37</f>
        <v>449056</v>
      </c>
      <c r="I38" s="154">
        <f>I36+I37</f>
        <v>421965</v>
      </c>
      <c r="J38" s="154">
        <f>J36+J37</f>
        <v>457967</v>
      </c>
      <c r="K38" s="154">
        <f>K36+K37</f>
        <v>482804</v>
      </c>
      <c r="L38" s="154">
        <f t="shared" ref="L38:W38" si="3">L36+L37</f>
        <v>417447</v>
      </c>
      <c r="M38" s="154">
        <f t="shared" si="3"/>
        <v>336574</v>
      </c>
      <c r="N38" s="154">
        <f t="shared" si="3"/>
        <v>257186</v>
      </c>
      <c r="O38" s="154">
        <f t="shared" si="3"/>
        <v>243126</v>
      </c>
      <c r="P38" s="154">
        <f t="shared" si="3"/>
        <v>225213</v>
      </c>
      <c r="Q38" s="154">
        <f t="shared" si="3"/>
        <v>223191</v>
      </c>
      <c r="R38" s="154">
        <f t="shared" si="3"/>
        <v>252788</v>
      </c>
      <c r="S38" s="154">
        <f t="shared" si="3"/>
        <v>244808</v>
      </c>
      <c r="T38" s="154">
        <f t="shared" si="3"/>
        <v>229888</v>
      </c>
      <c r="U38" s="154">
        <f t="shared" si="3"/>
        <v>184151</v>
      </c>
      <c r="V38" s="154">
        <f t="shared" si="3"/>
        <v>131965</v>
      </c>
      <c r="W38" s="154">
        <f t="shared" si="3"/>
        <v>15760</v>
      </c>
    </row>
    <row r="39" spans="1:23" ht="20.25" x14ac:dyDescent="0.2">
      <c r="A39" s="43"/>
      <c r="B39" s="43"/>
      <c r="C39" s="43"/>
      <c r="D39" s="43"/>
      <c r="E39" s="43"/>
      <c r="F39" s="43"/>
      <c r="G39" s="153"/>
      <c r="H39" s="153"/>
      <c r="I39" s="153"/>
      <c r="J39" s="153"/>
      <c r="K39" s="153"/>
      <c r="L39" s="153"/>
      <c r="M39" s="153"/>
      <c r="N39" s="153"/>
      <c r="O39" s="153"/>
      <c r="P39" s="153"/>
      <c r="Q39" s="153"/>
      <c r="R39" s="153"/>
      <c r="S39" s="153"/>
      <c r="T39" s="153"/>
      <c r="U39" s="153"/>
      <c r="V39" s="153"/>
      <c r="W39" s="153"/>
    </row>
    <row r="40" spans="1:23" ht="27" thickBot="1" x14ac:dyDescent="0.25">
      <c r="A40" s="50" t="s">
        <v>61</v>
      </c>
      <c r="B40" s="50"/>
      <c r="C40" s="50"/>
      <c r="D40" s="50"/>
      <c r="E40" s="50"/>
      <c r="F40" s="50"/>
      <c r="G40" s="248">
        <f>G32+G38</f>
        <v>739679.76000000013</v>
      </c>
      <c r="H40" s="248">
        <f>H32+H38</f>
        <v>651526</v>
      </c>
      <c r="I40" s="248">
        <f>I32+I38</f>
        <v>573888</v>
      </c>
      <c r="J40" s="248">
        <f>J32+J38</f>
        <v>623376</v>
      </c>
      <c r="K40" s="248">
        <f>K32+K38</f>
        <v>647895</v>
      </c>
      <c r="L40" s="248">
        <f t="shared" ref="L40:W40" si="4">L32+L38</f>
        <v>573053</v>
      </c>
      <c r="M40" s="248">
        <f t="shared" si="4"/>
        <v>506508</v>
      </c>
      <c r="N40" s="248">
        <f t="shared" si="4"/>
        <v>504878</v>
      </c>
      <c r="O40" s="248">
        <f t="shared" si="4"/>
        <v>395848</v>
      </c>
      <c r="P40" s="248">
        <f t="shared" si="4"/>
        <v>321564</v>
      </c>
      <c r="Q40" s="248">
        <f t="shared" si="4"/>
        <v>342293</v>
      </c>
      <c r="R40" s="248">
        <f t="shared" si="4"/>
        <v>368082</v>
      </c>
      <c r="S40" s="248">
        <f t="shared" si="4"/>
        <v>328444</v>
      </c>
      <c r="T40" s="248">
        <f t="shared" si="4"/>
        <v>320712</v>
      </c>
      <c r="U40" s="248">
        <f t="shared" si="4"/>
        <v>243322</v>
      </c>
      <c r="V40" s="248">
        <f t="shared" si="4"/>
        <v>188596</v>
      </c>
      <c r="W40" s="248">
        <f t="shared" si="4"/>
        <v>77876</v>
      </c>
    </row>
    <row r="41" spans="1:23" ht="15" thickTop="1" x14ac:dyDescent="0.2">
      <c r="D41" s="238"/>
    </row>
  </sheetData>
  <mergeCells count="2">
    <mergeCell ref="B6:F6"/>
    <mergeCell ref="C10:F10"/>
  </mergeCells>
  <pageMargins left="0.2" right="0.2" top="1.25" bottom="0.5" header="0.3" footer="0.3"/>
  <pageSetup paperSize="5"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Y117"/>
  <sheetViews>
    <sheetView zoomScale="70" zoomScaleNormal="70" workbookViewId="0">
      <selection activeCell="F41" sqref="F41"/>
    </sheetView>
  </sheetViews>
  <sheetFormatPr defaultRowHeight="18" x14ac:dyDescent="0.25"/>
  <cols>
    <col min="1" max="1" width="2.875" style="34" customWidth="1"/>
    <col min="2" max="2" width="8.125" style="34" customWidth="1"/>
    <col min="3" max="3" width="8.75" style="34" customWidth="1"/>
    <col min="4" max="4" width="5.75" style="34" customWidth="1"/>
    <col min="5" max="5" width="2.875" style="34" customWidth="1"/>
    <col min="6" max="6" width="51.375" style="34" bestFit="1" customWidth="1"/>
    <col min="7" max="7" width="24.25" style="34" customWidth="1"/>
    <col min="8" max="9" width="24.125" style="34" customWidth="1"/>
    <col min="10" max="10" width="24.125" customWidth="1"/>
    <col min="11" max="11" width="22.875" bestFit="1" customWidth="1"/>
    <col min="12" max="12" width="10.25" style="254" bestFit="1" customWidth="1"/>
    <col min="13" max="13" width="10.875" bestFit="1" customWidth="1"/>
    <col min="14" max="15" width="10.875" customWidth="1"/>
    <col min="16" max="16" width="10.5" bestFit="1" customWidth="1"/>
    <col min="17" max="17" width="15.25" customWidth="1"/>
    <col min="18" max="18" width="14.625" style="19" customWidth="1"/>
    <col min="23" max="23" width="13.125" style="4" customWidth="1"/>
    <col min="24" max="24" width="18" customWidth="1"/>
    <col min="25" max="25" width="11.375" style="18" bestFit="1" customWidth="1"/>
    <col min="233" max="233" width="2.875" customWidth="1"/>
    <col min="234" max="234" width="8.125" customWidth="1"/>
    <col min="235" max="235" width="8.75" customWidth="1"/>
    <col min="236" max="236" width="11" customWidth="1"/>
    <col min="237" max="237" width="2.875" customWidth="1"/>
    <col min="238" max="238" width="77.625" customWidth="1"/>
    <col min="239" max="239" width="20.875" customWidth="1"/>
    <col min="489" max="489" width="2.875" customWidth="1"/>
    <col min="490" max="490" width="8.125" customWidth="1"/>
    <col min="491" max="491" width="8.75" customWidth="1"/>
    <col min="492" max="492" width="11" customWidth="1"/>
    <col min="493" max="493" width="2.875" customWidth="1"/>
    <col min="494" max="494" width="77.625" customWidth="1"/>
    <col min="495" max="495" width="20.875" customWidth="1"/>
    <col min="745" max="745" width="2.875" customWidth="1"/>
    <col min="746" max="746" width="8.125" customWidth="1"/>
    <col min="747" max="747" width="8.75" customWidth="1"/>
    <col min="748" max="748" width="11" customWidth="1"/>
    <col min="749" max="749" width="2.875" customWidth="1"/>
    <col min="750" max="750" width="77.625" customWidth="1"/>
    <col min="751" max="751" width="20.875" customWidth="1"/>
    <col min="1001" max="1001" width="2.875" customWidth="1"/>
    <col min="1002" max="1002" width="8.125" customWidth="1"/>
    <col min="1003" max="1003" width="8.75" customWidth="1"/>
    <col min="1004" max="1004" width="11" customWidth="1"/>
    <col min="1005" max="1005" width="2.875" customWidth="1"/>
    <col min="1006" max="1006" width="77.625" customWidth="1"/>
    <col min="1007" max="1007" width="20.875" customWidth="1"/>
    <col min="1257" max="1257" width="2.875" customWidth="1"/>
    <col min="1258" max="1258" width="8.125" customWidth="1"/>
    <col min="1259" max="1259" width="8.75" customWidth="1"/>
    <col min="1260" max="1260" width="11" customWidth="1"/>
    <col min="1261" max="1261" width="2.875" customWidth="1"/>
    <col min="1262" max="1262" width="77.625" customWidth="1"/>
    <col min="1263" max="1263" width="20.875" customWidth="1"/>
    <col min="1513" max="1513" width="2.875" customWidth="1"/>
    <col min="1514" max="1514" width="8.125" customWidth="1"/>
    <col min="1515" max="1515" width="8.75" customWidth="1"/>
    <col min="1516" max="1516" width="11" customWidth="1"/>
    <col min="1517" max="1517" width="2.875" customWidth="1"/>
    <col min="1518" max="1518" width="77.625" customWidth="1"/>
    <col min="1519" max="1519" width="20.875" customWidth="1"/>
    <col min="1769" max="1769" width="2.875" customWidth="1"/>
    <col min="1770" max="1770" width="8.125" customWidth="1"/>
    <col min="1771" max="1771" width="8.75" customWidth="1"/>
    <col min="1772" max="1772" width="11" customWidth="1"/>
    <col min="1773" max="1773" width="2.875" customWidth="1"/>
    <col min="1774" max="1774" width="77.625" customWidth="1"/>
    <col min="1775" max="1775" width="20.875" customWidth="1"/>
    <col min="2025" max="2025" width="2.875" customWidth="1"/>
    <col min="2026" max="2026" width="8.125" customWidth="1"/>
    <col min="2027" max="2027" width="8.75" customWidth="1"/>
    <col min="2028" max="2028" width="11" customWidth="1"/>
    <col min="2029" max="2029" width="2.875" customWidth="1"/>
    <col min="2030" max="2030" width="77.625" customWidth="1"/>
    <col min="2031" max="2031" width="20.875" customWidth="1"/>
    <col min="2281" max="2281" width="2.875" customWidth="1"/>
    <col min="2282" max="2282" width="8.125" customWidth="1"/>
    <col min="2283" max="2283" width="8.75" customWidth="1"/>
    <col min="2284" max="2284" width="11" customWidth="1"/>
    <col min="2285" max="2285" width="2.875" customWidth="1"/>
    <col min="2286" max="2286" width="77.625" customWidth="1"/>
    <col min="2287" max="2287" width="20.875" customWidth="1"/>
    <col min="2537" max="2537" width="2.875" customWidth="1"/>
    <col min="2538" max="2538" width="8.125" customWidth="1"/>
    <col min="2539" max="2539" width="8.75" customWidth="1"/>
    <col min="2540" max="2540" width="11" customWidth="1"/>
    <col min="2541" max="2541" width="2.875" customWidth="1"/>
    <col min="2542" max="2542" width="77.625" customWidth="1"/>
    <col min="2543" max="2543" width="20.875" customWidth="1"/>
    <col min="2793" max="2793" width="2.875" customWidth="1"/>
    <col min="2794" max="2794" width="8.125" customWidth="1"/>
    <col min="2795" max="2795" width="8.75" customWidth="1"/>
    <col min="2796" max="2796" width="11" customWidth="1"/>
    <col min="2797" max="2797" width="2.875" customWidth="1"/>
    <col min="2798" max="2798" width="77.625" customWidth="1"/>
    <col min="2799" max="2799" width="20.875" customWidth="1"/>
    <col min="3049" max="3049" width="2.875" customWidth="1"/>
    <col min="3050" max="3050" width="8.125" customWidth="1"/>
    <col min="3051" max="3051" width="8.75" customWidth="1"/>
    <col min="3052" max="3052" width="11" customWidth="1"/>
    <col min="3053" max="3053" width="2.875" customWidth="1"/>
    <col min="3054" max="3054" width="77.625" customWidth="1"/>
    <col min="3055" max="3055" width="20.875" customWidth="1"/>
    <col min="3305" max="3305" width="2.875" customWidth="1"/>
    <col min="3306" max="3306" width="8.125" customWidth="1"/>
    <col min="3307" max="3307" width="8.75" customWidth="1"/>
    <col min="3308" max="3308" width="11" customWidth="1"/>
    <col min="3309" max="3309" width="2.875" customWidth="1"/>
    <col min="3310" max="3310" width="77.625" customWidth="1"/>
    <col min="3311" max="3311" width="20.875" customWidth="1"/>
    <col min="3561" max="3561" width="2.875" customWidth="1"/>
    <col min="3562" max="3562" width="8.125" customWidth="1"/>
    <col min="3563" max="3563" width="8.75" customWidth="1"/>
    <col min="3564" max="3564" width="11" customWidth="1"/>
    <col min="3565" max="3565" width="2.875" customWidth="1"/>
    <col min="3566" max="3566" width="77.625" customWidth="1"/>
    <col min="3567" max="3567" width="20.875" customWidth="1"/>
    <col min="3817" max="3817" width="2.875" customWidth="1"/>
    <col min="3818" max="3818" width="8.125" customWidth="1"/>
    <col min="3819" max="3819" width="8.75" customWidth="1"/>
    <col min="3820" max="3820" width="11" customWidth="1"/>
    <col min="3821" max="3821" width="2.875" customWidth="1"/>
    <col min="3822" max="3822" width="77.625" customWidth="1"/>
    <col min="3823" max="3823" width="20.875" customWidth="1"/>
    <col min="4073" max="4073" width="2.875" customWidth="1"/>
    <col min="4074" max="4074" width="8.125" customWidth="1"/>
    <col min="4075" max="4075" width="8.75" customWidth="1"/>
    <col min="4076" max="4076" width="11" customWidth="1"/>
    <col min="4077" max="4077" width="2.875" customWidth="1"/>
    <col min="4078" max="4078" width="77.625" customWidth="1"/>
    <col min="4079" max="4079" width="20.875" customWidth="1"/>
    <col min="4329" max="4329" width="2.875" customWidth="1"/>
    <col min="4330" max="4330" width="8.125" customWidth="1"/>
    <col min="4331" max="4331" width="8.75" customWidth="1"/>
    <col min="4332" max="4332" width="11" customWidth="1"/>
    <col min="4333" max="4333" width="2.875" customWidth="1"/>
    <col min="4334" max="4334" width="77.625" customWidth="1"/>
    <col min="4335" max="4335" width="20.875" customWidth="1"/>
    <col min="4585" max="4585" width="2.875" customWidth="1"/>
    <col min="4586" max="4586" width="8.125" customWidth="1"/>
    <col min="4587" max="4587" width="8.75" customWidth="1"/>
    <col min="4588" max="4588" width="11" customWidth="1"/>
    <col min="4589" max="4589" width="2.875" customWidth="1"/>
    <col min="4590" max="4590" width="77.625" customWidth="1"/>
    <col min="4591" max="4591" width="20.875" customWidth="1"/>
    <col min="4841" max="4841" width="2.875" customWidth="1"/>
    <col min="4842" max="4842" width="8.125" customWidth="1"/>
    <col min="4843" max="4843" width="8.75" customWidth="1"/>
    <col min="4844" max="4844" width="11" customWidth="1"/>
    <col min="4845" max="4845" width="2.875" customWidth="1"/>
    <col min="4846" max="4846" width="77.625" customWidth="1"/>
    <col min="4847" max="4847" width="20.875" customWidth="1"/>
    <col min="5097" max="5097" width="2.875" customWidth="1"/>
    <col min="5098" max="5098" width="8.125" customWidth="1"/>
    <col min="5099" max="5099" width="8.75" customWidth="1"/>
    <col min="5100" max="5100" width="11" customWidth="1"/>
    <col min="5101" max="5101" width="2.875" customWidth="1"/>
    <col min="5102" max="5102" width="77.625" customWidth="1"/>
    <col min="5103" max="5103" width="20.875" customWidth="1"/>
    <col min="5353" max="5353" width="2.875" customWidth="1"/>
    <col min="5354" max="5354" width="8.125" customWidth="1"/>
    <col min="5355" max="5355" width="8.75" customWidth="1"/>
    <col min="5356" max="5356" width="11" customWidth="1"/>
    <col min="5357" max="5357" width="2.875" customWidth="1"/>
    <col min="5358" max="5358" width="77.625" customWidth="1"/>
    <col min="5359" max="5359" width="20.875" customWidth="1"/>
    <col min="5609" max="5609" width="2.875" customWidth="1"/>
    <col min="5610" max="5610" width="8.125" customWidth="1"/>
    <col min="5611" max="5611" width="8.75" customWidth="1"/>
    <col min="5612" max="5612" width="11" customWidth="1"/>
    <col min="5613" max="5613" width="2.875" customWidth="1"/>
    <col min="5614" max="5614" width="77.625" customWidth="1"/>
    <col min="5615" max="5615" width="20.875" customWidth="1"/>
    <col min="5865" max="5865" width="2.875" customWidth="1"/>
    <col min="5866" max="5866" width="8.125" customWidth="1"/>
    <col min="5867" max="5867" width="8.75" customWidth="1"/>
    <col min="5868" max="5868" width="11" customWidth="1"/>
    <col min="5869" max="5869" width="2.875" customWidth="1"/>
    <col min="5870" max="5870" width="77.625" customWidth="1"/>
    <col min="5871" max="5871" width="20.875" customWidth="1"/>
    <col min="6121" max="6121" width="2.875" customWidth="1"/>
    <col min="6122" max="6122" width="8.125" customWidth="1"/>
    <col min="6123" max="6123" width="8.75" customWidth="1"/>
    <col min="6124" max="6124" width="11" customWidth="1"/>
    <col min="6125" max="6125" width="2.875" customWidth="1"/>
    <col min="6126" max="6126" width="77.625" customWidth="1"/>
    <col min="6127" max="6127" width="20.875" customWidth="1"/>
    <col min="6377" max="6377" width="2.875" customWidth="1"/>
    <col min="6378" max="6378" width="8.125" customWidth="1"/>
    <col min="6379" max="6379" width="8.75" customWidth="1"/>
    <col min="6380" max="6380" width="11" customWidth="1"/>
    <col min="6381" max="6381" width="2.875" customWidth="1"/>
    <col min="6382" max="6382" width="77.625" customWidth="1"/>
    <col min="6383" max="6383" width="20.875" customWidth="1"/>
    <col min="6633" max="6633" width="2.875" customWidth="1"/>
    <col min="6634" max="6634" width="8.125" customWidth="1"/>
    <col min="6635" max="6635" width="8.75" customWidth="1"/>
    <col min="6636" max="6636" width="11" customWidth="1"/>
    <col min="6637" max="6637" width="2.875" customWidth="1"/>
    <col min="6638" max="6638" width="77.625" customWidth="1"/>
    <col min="6639" max="6639" width="20.875" customWidth="1"/>
    <col min="6889" max="6889" width="2.875" customWidth="1"/>
    <col min="6890" max="6890" width="8.125" customWidth="1"/>
    <col min="6891" max="6891" width="8.75" customWidth="1"/>
    <col min="6892" max="6892" width="11" customWidth="1"/>
    <col min="6893" max="6893" width="2.875" customWidth="1"/>
    <col min="6894" max="6894" width="77.625" customWidth="1"/>
    <col min="6895" max="6895" width="20.875" customWidth="1"/>
    <col min="7145" max="7145" width="2.875" customWidth="1"/>
    <col min="7146" max="7146" width="8.125" customWidth="1"/>
    <col min="7147" max="7147" width="8.75" customWidth="1"/>
    <col min="7148" max="7148" width="11" customWidth="1"/>
    <col min="7149" max="7149" width="2.875" customWidth="1"/>
    <col min="7150" max="7150" width="77.625" customWidth="1"/>
    <col min="7151" max="7151" width="20.875" customWidth="1"/>
    <col min="7401" max="7401" width="2.875" customWidth="1"/>
    <col min="7402" max="7402" width="8.125" customWidth="1"/>
    <col min="7403" max="7403" width="8.75" customWidth="1"/>
    <col min="7404" max="7404" width="11" customWidth="1"/>
    <col min="7405" max="7405" width="2.875" customWidth="1"/>
    <col min="7406" max="7406" width="77.625" customWidth="1"/>
    <col min="7407" max="7407" width="20.875" customWidth="1"/>
    <col min="7657" max="7657" width="2.875" customWidth="1"/>
    <col min="7658" max="7658" width="8.125" customWidth="1"/>
    <col min="7659" max="7659" width="8.75" customWidth="1"/>
    <col min="7660" max="7660" width="11" customWidth="1"/>
    <col min="7661" max="7661" width="2.875" customWidth="1"/>
    <col min="7662" max="7662" width="77.625" customWidth="1"/>
    <col min="7663" max="7663" width="20.875" customWidth="1"/>
    <col min="7913" max="7913" width="2.875" customWidth="1"/>
    <col min="7914" max="7914" width="8.125" customWidth="1"/>
    <col min="7915" max="7915" width="8.75" customWidth="1"/>
    <col min="7916" max="7916" width="11" customWidth="1"/>
    <col min="7917" max="7917" width="2.875" customWidth="1"/>
    <col min="7918" max="7918" width="77.625" customWidth="1"/>
    <col min="7919" max="7919" width="20.875" customWidth="1"/>
    <col min="8169" max="8169" width="2.875" customWidth="1"/>
    <col min="8170" max="8170" width="8.125" customWidth="1"/>
    <col min="8171" max="8171" width="8.75" customWidth="1"/>
    <col min="8172" max="8172" width="11" customWidth="1"/>
    <col min="8173" max="8173" width="2.875" customWidth="1"/>
    <col min="8174" max="8174" width="77.625" customWidth="1"/>
    <col min="8175" max="8175" width="20.875" customWidth="1"/>
    <col min="8425" max="8425" width="2.875" customWidth="1"/>
    <col min="8426" max="8426" width="8.125" customWidth="1"/>
    <col min="8427" max="8427" width="8.75" customWidth="1"/>
    <col min="8428" max="8428" width="11" customWidth="1"/>
    <col min="8429" max="8429" width="2.875" customWidth="1"/>
    <col min="8430" max="8430" width="77.625" customWidth="1"/>
    <col min="8431" max="8431" width="20.875" customWidth="1"/>
    <col min="8681" max="8681" width="2.875" customWidth="1"/>
    <col min="8682" max="8682" width="8.125" customWidth="1"/>
    <col min="8683" max="8683" width="8.75" customWidth="1"/>
    <col min="8684" max="8684" width="11" customWidth="1"/>
    <col min="8685" max="8685" width="2.875" customWidth="1"/>
    <col min="8686" max="8686" width="77.625" customWidth="1"/>
    <col min="8687" max="8687" width="20.875" customWidth="1"/>
    <col min="8937" max="8937" width="2.875" customWidth="1"/>
    <col min="8938" max="8938" width="8.125" customWidth="1"/>
    <col min="8939" max="8939" width="8.75" customWidth="1"/>
    <col min="8940" max="8940" width="11" customWidth="1"/>
    <col min="8941" max="8941" width="2.875" customWidth="1"/>
    <col min="8942" max="8942" width="77.625" customWidth="1"/>
    <col min="8943" max="8943" width="20.875" customWidth="1"/>
    <col min="9193" max="9193" width="2.875" customWidth="1"/>
    <col min="9194" max="9194" width="8.125" customWidth="1"/>
    <col min="9195" max="9195" width="8.75" customWidth="1"/>
    <col min="9196" max="9196" width="11" customWidth="1"/>
    <col min="9197" max="9197" width="2.875" customWidth="1"/>
    <col min="9198" max="9198" width="77.625" customWidth="1"/>
    <col min="9199" max="9199" width="20.875" customWidth="1"/>
    <col min="9449" max="9449" width="2.875" customWidth="1"/>
    <col min="9450" max="9450" width="8.125" customWidth="1"/>
    <col min="9451" max="9451" width="8.75" customWidth="1"/>
    <col min="9452" max="9452" width="11" customWidth="1"/>
    <col min="9453" max="9453" width="2.875" customWidth="1"/>
    <col min="9454" max="9454" width="77.625" customWidth="1"/>
    <col min="9455" max="9455" width="20.875" customWidth="1"/>
    <col min="9705" max="9705" width="2.875" customWidth="1"/>
    <col min="9706" max="9706" width="8.125" customWidth="1"/>
    <col min="9707" max="9707" width="8.75" customWidth="1"/>
    <col min="9708" max="9708" width="11" customWidth="1"/>
    <col min="9709" max="9709" width="2.875" customWidth="1"/>
    <col min="9710" max="9710" width="77.625" customWidth="1"/>
    <col min="9711" max="9711" width="20.875" customWidth="1"/>
    <col min="9961" max="9961" width="2.875" customWidth="1"/>
    <col min="9962" max="9962" width="8.125" customWidth="1"/>
    <col min="9963" max="9963" width="8.75" customWidth="1"/>
    <col min="9964" max="9964" width="11" customWidth="1"/>
    <col min="9965" max="9965" width="2.875" customWidth="1"/>
    <col min="9966" max="9966" width="77.625" customWidth="1"/>
    <col min="9967" max="9967" width="20.875" customWidth="1"/>
    <col min="10217" max="10217" width="2.875" customWidth="1"/>
    <col min="10218" max="10218" width="8.125" customWidth="1"/>
    <col min="10219" max="10219" width="8.75" customWidth="1"/>
    <col min="10220" max="10220" width="11" customWidth="1"/>
    <col min="10221" max="10221" width="2.875" customWidth="1"/>
    <col min="10222" max="10222" width="77.625" customWidth="1"/>
    <col min="10223" max="10223" width="20.875" customWidth="1"/>
    <col min="10473" max="10473" width="2.875" customWidth="1"/>
    <col min="10474" max="10474" width="8.125" customWidth="1"/>
    <col min="10475" max="10475" width="8.75" customWidth="1"/>
    <col min="10476" max="10476" width="11" customWidth="1"/>
    <col min="10477" max="10477" width="2.875" customWidth="1"/>
    <col min="10478" max="10478" width="77.625" customWidth="1"/>
    <col min="10479" max="10479" width="20.875" customWidth="1"/>
    <col min="10729" max="10729" width="2.875" customWidth="1"/>
    <col min="10730" max="10730" width="8.125" customWidth="1"/>
    <col min="10731" max="10731" width="8.75" customWidth="1"/>
    <col min="10732" max="10732" width="11" customWidth="1"/>
    <col min="10733" max="10733" width="2.875" customWidth="1"/>
    <col min="10734" max="10734" width="77.625" customWidth="1"/>
    <col min="10735" max="10735" width="20.875" customWidth="1"/>
    <col min="10985" max="10985" width="2.875" customWidth="1"/>
    <col min="10986" max="10986" width="8.125" customWidth="1"/>
    <col min="10987" max="10987" width="8.75" customWidth="1"/>
    <col min="10988" max="10988" width="11" customWidth="1"/>
    <col min="10989" max="10989" width="2.875" customWidth="1"/>
    <col min="10990" max="10990" width="77.625" customWidth="1"/>
    <col min="10991" max="10991" width="20.875" customWidth="1"/>
    <col min="11241" max="11241" width="2.875" customWidth="1"/>
    <col min="11242" max="11242" width="8.125" customWidth="1"/>
    <col min="11243" max="11243" width="8.75" customWidth="1"/>
    <col min="11244" max="11244" width="11" customWidth="1"/>
    <col min="11245" max="11245" width="2.875" customWidth="1"/>
    <col min="11246" max="11246" width="77.625" customWidth="1"/>
    <col min="11247" max="11247" width="20.875" customWidth="1"/>
    <col min="11497" max="11497" width="2.875" customWidth="1"/>
    <col min="11498" max="11498" width="8.125" customWidth="1"/>
    <col min="11499" max="11499" width="8.75" customWidth="1"/>
    <col min="11500" max="11500" width="11" customWidth="1"/>
    <col min="11501" max="11501" width="2.875" customWidth="1"/>
    <col min="11502" max="11502" width="77.625" customWidth="1"/>
    <col min="11503" max="11503" width="20.875" customWidth="1"/>
    <col min="11753" max="11753" width="2.875" customWidth="1"/>
    <col min="11754" max="11754" width="8.125" customWidth="1"/>
    <col min="11755" max="11755" width="8.75" customWidth="1"/>
    <col min="11756" max="11756" width="11" customWidth="1"/>
    <col min="11757" max="11757" width="2.875" customWidth="1"/>
    <col min="11758" max="11758" width="77.625" customWidth="1"/>
    <col min="11759" max="11759" width="20.875" customWidth="1"/>
    <col min="12009" max="12009" width="2.875" customWidth="1"/>
    <col min="12010" max="12010" width="8.125" customWidth="1"/>
    <col min="12011" max="12011" width="8.75" customWidth="1"/>
    <col min="12012" max="12012" width="11" customWidth="1"/>
    <col min="12013" max="12013" width="2.875" customWidth="1"/>
    <col min="12014" max="12014" width="77.625" customWidth="1"/>
    <col min="12015" max="12015" width="20.875" customWidth="1"/>
    <col min="12265" max="12265" width="2.875" customWidth="1"/>
    <col min="12266" max="12266" width="8.125" customWidth="1"/>
    <col min="12267" max="12267" width="8.75" customWidth="1"/>
    <col min="12268" max="12268" width="11" customWidth="1"/>
    <col min="12269" max="12269" width="2.875" customWidth="1"/>
    <col min="12270" max="12270" width="77.625" customWidth="1"/>
    <col min="12271" max="12271" width="20.875" customWidth="1"/>
    <col min="12521" max="12521" width="2.875" customWidth="1"/>
    <col min="12522" max="12522" width="8.125" customWidth="1"/>
    <col min="12523" max="12523" width="8.75" customWidth="1"/>
    <col min="12524" max="12524" width="11" customWidth="1"/>
    <col min="12525" max="12525" width="2.875" customWidth="1"/>
    <col min="12526" max="12526" width="77.625" customWidth="1"/>
    <col min="12527" max="12527" width="20.875" customWidth="1"/>
    <col min="12777" max="12777" width="2.875" customWidth="1"/>
    <col min="12778" max="12778" width="8.125" customWidth="1"/>
    <col min="12779" max="12779" width="8.75" customWidth="1"/>
    <col min="12780" max="12780" width="11" customWidth="1"/>
    <col min="12781" max="12781" width="2.875" customWidth="1"/>
    <col min="12782" max="12782" width="77.625" customWidth="1"/>
    <col min="12783" max="12783" width="20.875" customWidth="1"/>
    <col min="13033" max="13033" width="2.875" customWidth="1"/>
    <col min="13034" max="13034" width="8.125" customWidth="1"/>
    <col min="13035" max="13035" width="8.75" customWidth="1"/>
    <col min="13036" max="13036" width="11" customWidth="1"/>
    <col min="13037" max="13037" width="2.875" customWidth="1"/>
    <col min="13038" max="13038" width="77.625" customWidth="1"/>
    <col min="13039" max="13039" width="20.875" customWidth="1"/>
    <col min="13289" max="13289" width="2.875" customWidth="1"/>
    <col min="13290" max="13290" width="8.125" customWidth="1"/>
    <col min="13291" max="13291" width="8.75" customWidth="1"/>
    <col min="13292" max="13292" width="11" customWidth="1"/>
    <col min="13293" max="13293" width="2.875" customWidth="1"/>
    <col min="13294" max="13294" width="77.625" customWidth="1"/>
    <col min="13295" max="13295" width="20.875" customWidth="1"/>
    <col min="13545" max="13545" width="2.875" customWidth="1"/>
    <col min="13546" max="13546" width="8.125" customWidth="1"/>
    <col min="13547" max="13547" width="8.75" customWidth="1"/>
    <col min="13548" max="13548" width="11" customWidth="1"/>
    <col min="13549" max="13549" width="2.875" customWidth="1"/>
    <col min="13550" max="13550" width="77.625" customWidth="1"/>
    <col min="13551" max="13551" width="20.875" customWidth="1"/>
    <col min="13801" max="13801" width="2.875" customWidth="1"/>
    <col min="13802" max="13802" width="8.125" customWidth="1"/>
    <col min="13803" max="13803" width="8.75" customWidth="1"/>
    <col min="13804" max="13804" width="11" customWidth="1"/>
    <col min="13805" max="13805" width="2.875" customWidth="1"/>
    <col min="13806" max="13806" width="77.625" customWidth="1"/>
    <col min="13807" max="13807" width="20.875" customWidth="1"/>
    <col min="14057" max="14057" width="2.875" customWidth="1"/>
    <col min="14058" max="14058" width="8.125" customWidth="1"/>
    <col min="14059" max="14059" width="8.75" customWidth="1"/>
    <col min="14060" max="14060" width="11" customWidth="1"/>
    <col min="14061" max="14061" width="2.875" customWidth="1"/>
    <col min="14062" max="14062" width="77.625" customWidth="1"/>
    <col min="14063" max="14063" width="20.875" customWidth="1"/>
    <col min="14313" max="14313" width="2.875" customWidth="1"/>
    <col min="14314" max="14314" width="8.125" customWidth="1"/>
    <col min="14315" max="14315" width="8.75" customWidth="1"/>
    <col min="14316" max="14316" width="11" customWidth="1"/>
    <col min="14317" max="14317" width="2.875" customWidth="1"/>
    <col min="14318" max="14318" width="77.625" customWidth="1"/>
    <col min="14319" max="14319" width="20.875" customWidth="1"/>
    <col min="14569" max="14569" width="2.875" customWidth="1"/>
    <col min="14570" max="14570" width="8.125" customWidth="1"/>
    <col min="14571" max="14571" width="8.75" customWidth="1"/>
    <col min="14572" max="14572" width="11" customWidth="1"/>
    <col min="14573" max="14573" width="2.875" customWidth="1"/>
    <col min="14574" max="14574" width="77.625" customWidth="1"/>
    <col min="14575" max="14575" width="20.875" customWidth="1"/>
    <col min="14825" max="14825" width="2.875" customWidth="1"/>
    <col min="14826" max="14826" width="8.125" customWidth="1"/>
    <col min="14827" max="14827" width="8.75" customWidth="1"/>
    <col min="14828" max="14828" width="11" customWidth="1"/>
    <col min="14829" max="14829" width="2.875" customWidth="1"/>
    <col min="14830" max="14830" width="77.625" customWidth="1"/>
    <col min="14831" max="14831" width="20.875" customWidth="1"/>
    <col min="15081" max="15081" width="2.875" customWidth="1"/>
    <col min="15082" max="15082" width="8.125" customWidth="1"/>
    <col min="15083" max="15083" width="8.75" customWidth="1"/>
    <col min="15084" max="15084" width="11" customWidth="1"/>
    <col min="15085" max="15085" width="2.875" customWidth="1"/>
    <col min="15086" max="15086" width="77.625" customWidth="1"/>
    <col min="15087" max="15087" width="20.875" customWidth="1"/>
    <col min="15337" max="15337" width="2.875" customWidth="1"/>
    <col min="15338" max="15338" width="8.125" customWidth="1"/>
    <col min="15339" max="15339" width="8.75" customWidth="1"/>
    <col min="15340" max="15340" width="11" customWidth="1"/>
    <col min="15341" max="15341" width="2.875" customWidth="1"/>
    <col min="15342" max="15342" width="77.625" customWidth="1"/>
    <col min="15343" max="15343" width="20.875" customWidth="1"/>
    <col min="15593" max="15593" width="2.875" customWidth="1"/>
    <col min="15594" max="15594" width="8.125" customWidth="1"/>
    <col min="15595" max="15595" width="8.75" customWidth="1"/>
    <col min="15596" max="15596" width="11" customWidth="1"/>
    <col min="15597" max="15597" width="2.875" customWidth="1"/>
    <col min="15598" max="15598" width="77.625" customWidth="1"/>
    <col min="15599" max="15599" width="20.875" customWidth="1"/>
    <col min="15849" max="15849" width="2.875" customWidth="1"/>
    <col min="15850" max="15850" width="8.125" customWidth="1"/>
    <col min="15851" max="15851" width="8.75" customWidth="1"/>
    <col min="15852" max="15852" width="11" customWidth="1"/>
    <col min="15853" max="15853" width="2.875" customWidth="1"/>
    <col min="15854" max="15854" width="77.625" customWidth="1"/>
    <col min="15855" max="15855" width="20.875" customWidth="1"/>
    <col min="16105" max="16105" width="2.875" customWidth="1"/>
    <col min="16106" max="16106" width="8.125" customWidth="1"/>
    <col min="16107" max="16107" width="8.75" customWidth="1"/>
    <col min="16108" max="16108" width="11" customWidth="1"/>
    <col min="16109" max="16109" width="2.875" customWidth="1"/>
    <col min="16110" max="16110" width="77.625" customWidth="1"/>
    <col min="16111" max="16111" width="20.875" customWidth="1"/>
  </cols>
  <sheetData>
    <row r="1" spans="1:11" ht="22.5" customHeight="1" x14ac:dyDescent="0.4">
      <c r="A1" s="35" t="s">
        <v>90</v>
      </c>
      <c r="B1" s="36"/>
      <c r="C1" s="37"/>
      <c r="D1" s="37"/>
      <c r="E1" s="37"/>
      <c r="F1" s="36"/>
      <c r="G1" s="36"/>
      <c r="H1" s="36"/>
      <c r="I1" s="36"/>
      <c r="J1" s="36"/>
      <c r="K1" s="36"/>
    </row>
    <row r="2" spans="1:11" ht="22.5" customHeight="1" x14ac:dyDescent="0.4">
      <c r="A2" s="35" t="s">
        <v>206</v>
      </c>
      <c r="B2" s="36"/>
      <c r="C2" s="37"/>
      <c r="D2" s="37"/>
      <c r="E2" s="37"/>
      <c r="F2" s="36"/>
      <c r="G2" s="36"/>
      <c r="H2" s="36"/>
      <c r="I2" s="36"/>
      <c r="J2" s="36"/>
      <c r="K2" s="36"/>
    </row>
    <row r="3" spans="1:11" ht="21.75" hidden="1" customHeight="1" x14ac:dyDescent="0.4">
      <c r="A3" s="35" t="str">
        <f>'[2]August''22 State of Activities'!A3</f>
        <v>Eight Months Ended August 31, 2022 and 2021</v>
      </c>
      <c r="B3" s="36"/>
      <c r="C3" s="37"/>
      <c r="D3" s="37"/>
      <c r="E3" s="37"/>
      <c r="F3" s="36"/>
      <c r="G3" s="36"/>
      <c r="H3" s="36"/>
      <c r="I3" s="36"/>
      <c r="J3" s="36"/>
      <c r="K3" s="36"/>
    </row>
    <row r="4" spans="1:11" ht="22.5" customHeight="1" x14ac:dyDescent="0.4">
      <c r="A4" s="35" t="s">
        <v>453</v>
      </c>
      <c r="B4" s="36"/>
      <c r="C4" s="37"/>
      <c r="D4" s="37"/>
      <c r="E4" s="37"/>
      <c r="F4" s="36"/>
      <c r="G4" s="36"/>
      <c r="H4" s="36"/>
      <c r="I4" s="36"/>
      <c r="J4" s="36"/>
      <c r="K4" s="36"/>
    </row>
    <row r="5" spans="1:11" s="39" customFormat="1" ht="8.25" customHeight="1" thickBot="1" x14ac:dyDescent="0.25">
      <c r="A5" s="38"/>
      <c r="B5" s="38"/>
      <c r="C5" s="38"/>
      <c r="D5" s="38"/>
      <c r="E5" s="38"/>
      <c r="F5" s="38"/>
      <c r="G5" s="38"/>
      <c r="H5" s="38"/>
      <c r="I5" s="38"/>
      <c r="K5" s="222"/>
    </row>
    <row r="6" spans="1:11" s="42" customFormat="1" ht="24.75" customHeight="1" thickTop="1" thickBot="1" x14ac:dyDescent="0.25">
      <c r="A6" s="40" t="s">
        <v>104</v>
      </c>
      <c r="B6" s="40"/>
      <c r="C6" s="40"/>
      <c r="D6" s="40"/>
      <c r="E6" s="40"/>
      <c r="F6" s="40"/>
      <c r="G6" s="40"/>
      <c r="H6" s="40"/>
      <c r="I6" s="40"/>
      <c r="J6" s="269"/>
      <c r="K6" s="536"/>
    </row>
    <row r="7" spans="1:11" s="44" customFormat="1" ht="8.25" customHeight="1" thickTop="1" x14ac:dyDescent="0.2">
      <c r="A7" s="43"/>
      <c r="B7" s="43"/>
      <c r="C7" s="43"/>
      <c r="D7" s="43"/>
      <c r="E7" s="43"/>
      <c r="F7" s="43"/>
      <c r="G7" s="43"/>
      <c r="H7" s="43"/>
      <c r="I7" s="43"/>
    </row>
    <row r="8" spans="1:11" ht="21" thickBot="1" x14ac:dyDescent="0.35">
      <c r="A8" s="45"/>
      <c r="B8" s="98" t="s">
        <v>96</v>
      </c>
      <c r="C8" s="98"/>
      <c r="D8" s="98"/>
      <c r="E8" s="98"/>
      <c r="F8" s="98"/>
      <c r="G8" s="449">
        <v>43465</v>
      </c>
      <c r="H8" s="449">
        <v>43830</v>
      </c>
      <c r="I8" s="449">
        <v>44196</v>
      </c>
      <c r="J8" s="449">
        <v>44561</v>
      </c>
      <c r="K8" s="449">
        <v>44926</v>
      </c>
    </row>
    <row r="9" spans="1:11" s="44" customFormat="1" ht="20.25" x14ac:dyDescent="0.2">
      <c r="A9" s="43"/>
      <c r="B9" s="43"/>
      <c r="C9" s="47" t="s">
        <v>146</v>
      </c>
      <c r="D9" s="47"/>
      <c r="E9" s="47"/>
      <c r="F9" s="43"/>
      <c r="G9" s="160">
        <f>153461+3123</f>
        <v>156584</v>
      </c>
      <c r="H9" s="160">
        <v>158721</v>
      </c>
      <c r="I9" s="160">
        <f>68070.06</f>
        <v>68070.06</v>
      </c>
      <c r="J9" s="160">
        <v>85646.89</v>
      </c>
      <c r="K9" s="160">
        <f>57601.72+8000*2+14508</f>
        <v>88109.72</v>
      </c>
    </row>
    <row r="10" spans="1:11" s="44" customFormat="1" ht="20.25" x14ac:dyDescent="0.2">
      <c r="A10" s="43"/>
      <c r="B10" s="43"/>
      <c r="C10" s="47" t="s">
        <v>207</v>
      </c>
      <c r="D10" s="47"/>
      <c r="E10" s="47"/>
      <c r="F10" s="43"/>
      <c r="G10" s="151">
        <v>20332</v>
      </c>
      <c r="H10" s="151">
        <v>12278.42</v>
      </c>
      <c r="I10" s="151">
        <v>16169.1</v>
      </c>
      <c r="J10" s="151">
        <v>34505.879999999997</v>
      </c>
      <c r="K10" s="151">
        <v>13825</v>
      </c>
    </row>
    <row r="11" spans="1:11" s="44" customFormat="1" ht="20.25" x14ac:dyDescent="0.2">
      <c r="A11" s="43"/>
      <c r="B11" s="43"/>
      <c r="C11" s="47" t="s">
        <v>372</v>
      </c>
      <c r="D11" s="47"/>
      <c r="E11" s="47"/>
      <c r="F11" s="43"/>
      <c r="G11" s="151"/>
      <c r="H11" s="151">
        <v>10616</v>
      </c>
      <c r="I11" s="151">
        <v>3260</v>
      </c>
      <c r="J11" s="151">
        <v>0</v>
      </c>
      <c r="K11" s="151">
        <f>29668+15301</f>
        <v>44969</v>
      </c>
    </row>
    <row r="12" spans="1:11" s="44" customFormat="1" ht="20.25" x14ac:dyDescent="0.2">
      <c r="A12" s="43"/>
      <c r="B12" s="43"/>
      <c r="C12" s="47" t="s">
        <v>98</v>
      </c>
      <c r="D12" s="47"/>
      <c r="E12" s="47"/>
      <c r="F12" s="43"/>
      <c r="G12" s="151"/>
      <c r="H12" s="151"/>
      <c r="I12" s="151"/>
      <c r="J12" s="151"/>
      <c r="K12" s="151"/>
    </row>
    <row r="13" spans="1:11" s="44" customFormat="1" ht="20.25" x14ac:dyDescent="0.2">
      <c r="A13" s="43"/>
      <c r="B13" s="43"/>
      <c r="D13" s="47" t="s">
        <v>208</v>
      </c>
      <c r="E13" s="47"/>
      <c r="F13" s="43"/>
      <c r="G13" s="151">
        <v>42500</v>
      </c>
      <c r="H13" s="151">
        <v>44499.96</v>
      </c>
      <c r="I13" s="151">
        <f>3750*12</f>
        <v>45000</v>
      </c>
      <c r="J13" s="151">
        <v>45500</v>
      </c>
      <c r="K13" s="151">
        <v>46000</v>
      </c>
    </row>
    <row r="14" spans="1:11" s="44" customFormat="1" ht="20.25" x14ac:dyDescent="0.2">
      <c r="A14" s="43"/>
      <c r="B14" s="43"/>
      <c r="D14" s="47" t="s">
        <v>154</v>
      </c>
      <c r="E14" s="47"/>
      <c r="F14" s="43"/>
      <c r="G14" s="151">
        <v>9000</v>
      </c>
      <c r="H14" s="151">
        <v>13000</v>
      </c>
      <c r="I14" s="151">
        <v>18000</v>
      </c>
      <c r="J14" s="151">
        <v>18000</v>
      </c>
      <c r="K14" s="151">
        <v>18000</v>
      </c>
    </row>
    <row r="15" spans="1:11" s="44" customFormat="1" ht="20.25" x14ac:dyDescent="0.2">
      <c r="A15" s="43"/>
      <c r="B15" s="43"/>
      <c r="C15" s="47" t="s">
        <v>99</v>
      </c>
      <c r="D15" s="47"/>
      <c r="E15" s="47"/>
      <c r="F15" s="43"/>
      <c r="G15" s="151">
        <v>12796</v>
      </c>
      <c r="H15" s="151">
        <v>13071.46</v>
      </c>
      <c r="I15" s="151">
        <v>12695.06</v>
      </c>
      <c r="J15" s="151">
        <v>17445.740000000002</v>
      </c>
      <c r="K15" s="151">
        <v>17500</v>
      </c>
    </row>
    <row r="16" spans="1:11" s="44" customFormat="1" ht="20.25" x14ac:dyDescent="0.2">
      <c r="A16" s="43"/>
      <c r="B16" s="43"/>
      <c r="C16" s="47" t="s">
        <v>454</v>
      </c>
      <c r="D16" s="47"/>
      <c r="E16" s="47"/>
      <c r="F16" s="43"/>
      <c r="G16" s="151">
        <f>25000</f>
        <v>25000</v>
      </c>
      <c r="H16" s="151">
        <v>71886</v>
      </c>
      <c r="I16" s="151">
        <v>77911.459999999992</v>
      </c>
      <c r="J16" s="151">
        <v>80378.48</v>
      </c>
      <c r="K16" s="151">
        <v>34118</v>
      </c>
    </row>
    <row r="17" spans="2:12" s="44" customFormat="1" ht="20.25" x14ac:dyDescent="0.2">
      <c r="B17" s="43"/>
      <c r="C17" s="47" t="s">
        <v>334</v>
      </c>
      <c r="D17" s="47"/>
      <c r="E17" s="47"/>
      <c r="F17" s="43"/>
      <c r="G17" s="151">
        <f>659</f>
        <v>659</v>
      </c>
      <c r="H17" s="151">
        <v>7946</v>
      </c>
      <c r="I17" s="151">
        <v>255.74</v>
      </c>
      <c r="J17" s="151">
        <v>3312.47</v>
      </c>
      <c r="K17" s="151">
        <v>180</v>
      </c>
      <c r="L17" s="253"/>
    </row>
    <row r="18" spans="2:12" s="44" customFormat="1" ht="21" thickBot="1" x14ac:dyDescent="0.25">
      <c r="B18" s="43"/>
      <c r="C18" s="47" t="s">
        <v>210</v>
      </c>
      <c r="D18" s="47"/>
      <c r="E18" s="47"/>
      <c r="F18" s="43"/>
      <c r="G18" s="158">
        <v>9315</v>
      </c>
      <c r="H18" s="158">
        <v>9315</v>
      </c>
      <c r="I18" s="158">
        <v>9315</v>
      </c>
      <c r="J18" s="158">
        <v>10548</v>
      </c>
      <c r="K18" s="158">
        <v>10548</v>
      </c>
      <c r="L18" s="253"/>
    </row>
    <row r="19" spans="2:12" s="44" customFormat="1" ht="20.25" x14ac:dyDescent="0.2">
      <c r="B19" s="43"/>
      <c r="C19" s="47"/>
      <c r="D19" s="43" t="s">
        <v>101</v>
      </c>
      <c r="E19" s="47"/>
      <c r="F19" s="43"/>
      <c r="G19" s="151">
        <f>SUM(G9:G18)</f>
        <v>276186</v>
      </c>
      <c r="H19" s="151">
        <f>SUM(H9:H18)</f>
        <v>341333.83999999997</v>
      </c>
      <c r="I19" s="151">
        <f>SUM(I9:I18)</f>
        <v>250676.41999999998</v>
      </c>
      <c r="J19" s="151">
        <f>SUM(J9:J18)</f>
        <v>295337.45999999996</v>
      </c>
      <c r="K19" s="151">
        <f>SUM(K9:K18)</f>
        <v>273249.71999999997</v>
      </c>
      <c r="L19" s="253"/>
    </row>
    <row r="20" spans="2:12" s="44" customFormat="1" ht="20.25" x14ac:dyDescent="0.2">
      <c r="B20" s="43"/>
      <c r="C20" s="43" t="s">
        <v>211</v>
      </c>
      <c r="D20" s="47"/>
      <c r="E20" s="47"/>
      <c r="F20" s="43"/>
      <c r="G20" s="151">
        <v>19000</v>
      </c>
      <c r="H20" s="151">
        <v>19000</v>
      </c>
      <c r="I20" s="151">
        <v>19000</v>
      </c>
      <c r="J20" s="151">
        <v>18500</v>
      </c>
      <c r="K20" s="151">
        <f>13333/8*12</f>
        <v>19999.5</v>
      </c>
      <c r="L20" s="253"/>
    </row>
    <row r="21" spans="2:12" s="44" customFormat="1" ht="21" thickBot="1" x14ac:dyDescent="0.25">
      <c r="B21" s="43"/>
      <c r="C21" s="43" t="s">
        <v>212</v>
      </c>
      <c r="D21" s="47"/>
      <c r="E21" s="47"/>
      <c r="F21" s="43"/>
      <c r="G21" s="158">
        <v>37641</v>
      </c>
      <c r="H21" s="158">
        <v>37834</v>
      </c>
      <c r="I21" s="158">
        <v>34669.31</v>
      </c>
      <c r="J21" s="158">
        <v>26400.720000000001</v>
      </c>
      <c r="K21" s="158">
        <v>43300</v>
      </c>
      <c r="L21" s="253"/>
    </row>
    <row r="22" spans="2:12" s="44" customFormat="1" ht="20.25" x14ac:dyDescent="0.2">
      <c r="B22" s="43"/>
      <c r="C22" s="47"/>
      <c r="D22" s="43" t="s">
        <v>103</v>
      </c>
      <c r="E22" s="47"/>
      <c r="F22" s="43"/>
      <c r="G22" s="151">
        <f>SUM(G19:G21)</f>
        <v>332827</v>
      </c>
      <c r="H22" s="151">
        <f>SUM(H19:H21)</f>
        <v>398167.83999999997</v>
      </c>
      <c r="I22" s="151">
        <f>SUM(I19:I21)</f>
        <v>304345.73</v>
      </c>
      <c r="J22" s="151">
        <f>SUM(J19:J21)</f>
        <v>340238.17999999993</v>
      </c>
      <c r="K22" s="151">
        <f>SUM(K19:K21)</f>
        <v>336549.22</v>
      </c>
      <c r="L22" s="253"/>
    </row>
    <row r="23" spans="2:12" s="44" customFormat="1" ht="20.25" x14ac:dyDescent="0.2">
      <c r="B23" s="43"/>
      <c r="C23" s="47"/>
      <c r="D23" s="43"/>
      <c r="E23" s="47"/>
      <c r="F23" s="43" t="s">
        <v>455</v>
      </c>
      <c r="G23" s="151"/>
      <c r="H23" s="151">
        <v>-46886</v>
      </c>
      <c r="I23" s="151"/>
      <c r="J23" s="151"/>
      <c r="K23" s="151"/>
      <c r="L23" s="253"/>
    </row>
    <row r="24" spans="2:12" s="44" customFormat="1" ht="20.25" x14ac:dyDescent="0.2">
      <c r="B24" s="43"/>
      <c r="C24" s="47"/>
      <c r="D24" s="43" t="s">
        <v>456</v>
      </c>
      <c r="E24" s="47"/>
      <c r="F24" s="43"/>
      <c r="G24" s="151"/>
      <c r="H24" s="151">
        <f>SUM(H22:H23)</f>
        <v>351281.83999999997</v>
      </c>
      <c r="I24" s="151"/>
      <c r="J24" s="151"/>
      <c r="K24" s="151"/>
      <c r="L24" s="253"/>
    </row>
    <row r="25" spans="2:12" s="44" customFormat="1" ht="20.25" x14ac:dyDescent="0.2">
      <c r="B25" s="43"/>
      <c r="C25" s="47"/>
      <c r="D25" s="43"/>
      <c r="E25" s="47"/>
      <c r="F25" s="43"/>
      <c r="G25" s="43"/>
      <c r="H25" s="43"/>
      <c r="I25" s="43"/>
      <c r="J25" s="406"/>
      <c r="K25" s="406"/>
      <c r="L25" s="253"/>
    </row>
    <row r="26" spans="2:12" s="44" customFormat="1" ht="21" thickBot="1" x14ac:dyDescent="0.25">
      <c r="B26" s="55" t="s">
        <v>107</v>
      </c>
      <c r="C26" s="55"/>
      <c r="D26" s="55"/>
      <c r="E26" s="55"/>
      <c r="F26" s="55"/>
      <c r="G26" s="43"/>
      <c r="H26" s="43"/>
      <c r="I26" s="43"/>
      <c r="L26" s="253"/>
    </row>
    <row r="27" spans="2:12" s="44" customFormat="1" ht="20.25" x14ac:dyDescent="0.2">
      <c r="B27" s="43"/>
      <c r="C27" s="47" t="s">
        <v>213</v>
      </c>
      <c r="D27" s="47"/>
      <c r="E27" s="47"/>
      <c r="F27" s="47"/>
      <c r="G27" s="47"/>
      <c r="H27" s="47"/>
      <c r="I27" s="47"/>
      <c r="J27" s="182"/>
      <c r="K27" s="182"/>
      <c r="L27" s="253"/>
    </row>
    <row r="28" spans="2:12" s="44" customFormat="1" ht="20.25" x14ac:dyDescent="0.2">
      <c r="B28" s="43"/>
      <c r="C28" s="47"/>
      <c r="D28" s="792" t="s">
        <v>214</v>
      </c>
      <c r="E28" s="792"/>
      <c r="F28" s="792"/>
      <c r="G28" s="522">
        <v>146508</v>
      </c>
      <c r="H28" s="522">
        <v>162253.75</v>
      </c>
      <c r="I28" s="522">
        <v>133830.65</v>
      </c>
      <c r="J28" s="522">
        <v>155035.70000000001</v>
      </c>
      <c r="K28" s="522">
        <v>203000</v>
      </c>
      <c r="L28" s="253" t="s">
        <v>457</v>
      </c>
    </row>
    <row r="29" spans="2:12" s="44" customFormat="1" ht="20.25" x14ac:dyDescent="0.2">
      <c r="B29" s="43"/>
      <c r="C29" s="47"/>
      <c r="D29" s="792" t="s">
        <v>215</v>
      </c>
      <c r="E29" s="792"/>
      <c r="F29" s="792"/>
      <c r="G29" s="151">
        <v>59928</v>
      </c>
      <c r="H29" s="151">
        <f>37966.12+23862.63+605.03+106.59</f>
        <v>62540.369999999995</v>
      </c>
      <c r="I29" s="151">
        <f>44061.17+21220.39</f>
        <v>65281.56</v>
      </c>
      <c r="J29" s="151">
        <f>43631.85+27917.65</f>
        <v>71549.5</v>
      </c>
      <c r="K29" s="151">
        <f>49205+29027</f>
        <v>78232</v>
      </c>
      <c r="L29" s="253"/>
    </row>
    <row r="30" spans="2:12" s="44" customFormat="1" ht="20.25" x14ac:dyDescent="0.2">
      <c r="B30" s="43"/>
      <c r="C30" s="47"/>
      <c r="D30" s="792" t="s">
        <v>109</v>
      </c>
      <c r="E30" s="792"/>
      <c r="F30" s="792"/>
      <c r="G30" s="151">
        <v>39636</v>
      </c>
      <c r="H30" s="151">
        <v>42279.58</v>
      </c>
      <c r="I30" s="151">
        <v>36601</v>
      </c>
      <c r="J30" s="151">
        <f>J28*0.213+J29*0.14</f>
        <v>43039.534100000004</v>
      </c>
      <c r="K30" s="151">
        <f>K28*0.213+K29*0.14</f>
        <v>54191.48</v>
      </c>
      <c r="L30" s="253"/>
    </row>
    <row r="31" spans="2:12" s="44" customFormat="1" ht="20.25" x14ac:dyDescent="0.2">
      <c r="B31" s="43"/>
      <c r="C31" s="47" t="s">
        <v>268</v>
      </c>
      <c r="D31" s="47"/>
      <c r="E31" s="47"/>
      <c r="F31" s="47"/>
      <c r="G31" s="500"/>
      <c r="H31" s="500"/>
      <c r="I31" s="500"/>
      <c r="J31" s="500"/>
      <c r="K31" s="500"/>
      <c r="L31" s="253"/>
    </row>
    <row r="32" spans="2:12" s="44" customFormat="1" ht="20.25" x14ac:dyDescent="0.2">
      <c r="B32" s="43"/>
      <c r="C32" s="47"/>
      <c r="D32" s="792" t="s">
        <v>216</v>
      </c>
      <c r="E32" s="792"/>
      <c r="F32" s="792"/>
      <c r="G32" s="522">
        <v>27184</v>
      </c>
      <c r="H32" s="522">
        <v>25472.83</v>
      </c>
      <c r="I32" s="522">
        <v>15135.29</v>
      </c>
      <c r="J32" s="522">
        <v>25112.19</v>
      </c>
      <c r="K32" s="522">
        <v>38000</v>
      </c>
      <c r="L32" s="253" t="s">
        <v>457</v>
      </c>
    </row>
    <row r="33" spans="2:12" s="44" customFormat="1" ht="20.25" x14ac:dyDescent="0.2">
      <c r="B33" s="43"/>
      <c r="C33" s="47"/>
      <c r="D33" s="792" t="s">
        <v>217</v>
      </c>
      <c r="E33" s="792"/>
      <c r="F33" s="792"/>
      <c r="G33" s="151">
        <v>15511</v>
      </c>
      <c r="H33" s="151">
        <v>17989.87</v>
      </c>
      <c r="I33" s="151">
        <v>22636.98</v>
      </c>
      <c r="J33" s="151">
        <v>23957.25</v>
      </c>
      <c r="K33" s="151">
        <f>24654.76+600</f>
        <v>25254.76</v>
      </c>
      <c r="L33" s="253"/>
    </row>
    <row r="34" spans="2:12" s="44" customFormat="1" ht="20.25" x14ac:dyDescent="0.2">
      <c r="B34" s="43"/>
      <c r="C34" s="47"/>
      <c r="D34" s="792" t="s">
        <v>293</v>
      </c>
      <c r="E34" s="792"/>
      <c r="F34" s="792"/>
      <c r="G34" s="522">
        <v>12450</v>
      </c>
      <c r="H34" s="522">
        <v>16090.9</v>
      </c>
      <c r="I34" s="522">
        <v>11030.88</v>
      </c>
      <c r="J34" s="522">
        <v>19504.66</v>
      </c>
      <c r="K34" s="522">
        <v>8800</v>
      </c>
      <c r="L34" s="253" t="s">
        <v>457</v>
      </c>
    </row>
    <row r="35" spans="2:12" s="44" customFormat="1" ht="20.25" x14ac:dyDescent="0.2">
      <c r="B35" s="43"/>
      <c r="C35" s="47"/>
      <c r="D35" s="792" t="s">
        <v>218</v>
      </c>
      <c r="E35" s="792"/>
      <c r="F35" s="792"/>
      <c r="G35" s="151">
        <v>377</v>
      </c>
      <c r="H35" s="151">
        <v>1427.75</v>
      </c>
      <c r="I35" s="151">
        <v>397</v>
      </c>
      <c r="J35" s="151">
        <v>663</v>
      </c>
      <c r="K35" s="151">
        <v>750</v>
      </c>
      <c r="L35" s="253"/>
    </row>
    <row r="36" spans="2:12" s="44" customFormat="1" ht="20.25" x14ac:dyDescent="0.2">
      <c r="B36" s="43"/>
      <c r="C36" s="47" t="s">
        <v>439</v>
      </c>
      <c r="D36" s="47"/>
      <c r="E36" s="47"/>
      <c r="F36" s="47"/>
      <c r="G36" s="151">
        <v>25080</v>
      </c>
      <c r="H36" s="151">
        <f>22438.68+1591</f>
        <v>24029.68</v>
      </c>
      <c r="I36" s="151">
        <f>29909+1860</f>
        <v>31769</v>
      </c>
      <c r="J36" s="151">
        <f>1903+28481</f>
        <v>30384</v>
      </c>
      <c r="K36" s="151">
        <f>20556/8*12</f>
        <v>30834</v>
      </c>
      <c r="L36" s="253"/>
    </row>
    <row r="37" spans="2:12" s="44" customFormat="1" ht="20.25" x14ac:dyDescent="0.2">
      <c r="B37" s="43"/>
      <c r="C37" s="47" t="s">
        <v>100</v>
      </c>
      <c r="D37" s="47"/>
      <c r="E37" s="47"/>
      <c r="F37" s="47"/>
      <c r="G37" s="151">
        <f>G18</f>
        <v>9315</v>
      </c>
      <c r="H37" s="151">
        <f>H18</f>
        <v>9315</v>
      </c>
      <c r="I37" s="151">
        <f>I18</f>
        <v>9315</v>
      </c>
      <c r="J37" s="151">
        <f>J18</f>
        <v>10548</v>
      </c>
      <c r="K37" s="151">
        <f>K18</f>
        <v>10548</v>
      </c>
      <c r="L37" s="253"/>
    </row>
    <row r="38" spans="2:12" s="44" customFormat="1" ht="20.25" x14ac:dyDescent="0.2">
      <c r="B38" s="43"/>
      <c r="C38" s="47" t="s">
        <v>301</v>
      </c>
      <c r="D38" s="47"/>
      <c r="E38" s="47"/>
      <c r="F38" s="47"/>
      <c r="G38" s="151">
        <v>4075</v>
      </c>
      <c r="H38" s="151">
        <v>4497</v>
      </c>
      <c r="I38" s="151">
        <v>4682.25</v>
      </c>
      <c r="J38" s="151">
        <v>4231.88</v>
      </c>
      <c r="K38" s="151">
        <f>3948.9+400+400</f>
        <v>4748.8999999999996</v>
      </c>
      <c r="L38" s="253"/>
    </row>
    <row r="39" spans="2:12" s="44" customFormat="1" ht="20.25" x14ac:dyDescent="0.2">
      <c r="B39" s="43"/>
      <c r="C39" s="47" t="s">
        <v>220</v>
      </c>
      <c r="D39" s="47"/>
      <c r="E39" s="47"/>
      <c r="F39" s="47"/>
      <c r="G39" s="151">
        <v>1496</v>
      </c>
      <c r="H39" s="151">
        <f>75+874</f>
        <v>949</v>
      </c>
      <c r="I39" s="151">
        <v>982</v>
      </c>
      <c r="J39" s="151">
        <f>99+937</f>
        <v>1036</v>
      </c>
      <c r="K39" s="151">
        <v>1314</v>
      </c>
      <c r="L39" s="253"/>
    </row>
    <row r="40" spans="2:12" s="44" customFormat="1" ht="20.25" x14ac:dyDescent="0.2">
      <c r="B40" s="43"/>
      <c r="C40" s="47" t="s">
        <v>365</v>
      </c>
      <c r="D40" s="47"/>
      <c r="E40" s="47"/>
      <c r="F40" s="47"/>
      <c r="G40" s="151">
        <v>3430</v>
      </c>
      <c r="H40" s="151">
        <v>4436.1400000000003</v>
      </c>
      <c r="I40" s="151">
        <v>7774.44</v>
      </c>
      <c r="J40" s="151">
        <f>7884.62+184.74</f>
        <v>8069.36</v>
      </c>
      <c r="K40" s="151">
        <v>8600</v>
      </c>
      <c r="L40" s="253"/>
    </row>
    <row r="41" spans="2:12" s="44" customFormat="1" ht="20.25" x14ac:dyDescent="0.2">
      <c r="B41" s="43"/>
      <c r="C41" s="47" t="s">
        <v>221</v>
      </c>
      <c r="D41" s="47"/>
      <c r="E41" s="47"/>
      <c r="F41" s="47"/>
      <c r="G41" s="151">
        <v>459</v>
      </c>
      <c r="H41" s="151">
        <f>223.01+568.51</f>
        <v>791.52</v>
      </c>
      <c r="I41" s="151">
        <v>636.94000000000005</v>
      </c>
      <c r="J41" s="151">
        <f>958.23+28.31+10.3+36.4+4907.37</f>
        <v>5940.61</v>
      </c>
      <c r="K41" s="151">
        <v>1811</v>
      </c>
      <c r="L41" s="253"/>
    </row>
    <row r="42" spans="2:12" s="44" customFormat="1" ht="20.25" x14ac:dyDescent="0.2">
      <c r="B42" s="43"/>
      <c r="C42" s="47" t="s">
        <v>118</v>
      </c>
      <c r="D42" s="47"/>
      <c r="E42" s="47"/>
      <c r="F42" s="47"/>
      <c r="G42" s="151">
        <v>1041</v>
      </c>
      <c r="H42" s="151">
        <v>1826.56</v>
      </c>
      <c r="I42" s="151">
        <v>2528.2399999999998</v>
      </c>
      <c r="J42" s="151">
        <v>3426.72</v>
      </c>
      <c r="K42" s="151">
        <f>235.23+4801.81</f>
        <v>5037.04</v>
      </c>
      <c r="L42" s="253"/>
    </row>
    <row r="43" spans="2:12" s="44" customFormat="1" ht="20.25" x14ac:dyDescent="0.2">
      <c r="B43" s="43"/>
      <c r="C43" s="47" t="s">
        <v>116</v>
      </c>
      <c r="D43" s="47"/>
      <c r="E43" s="47"/>
      <c r="F43" s="47"/>
      <c r="G43" s="151">
        <v>436</v>
      </c>
      <c r="H43" s="151">
        <v>396.82</v>
      </c>
      <c r="I43" s="151">
        <v>385.18</v>
      </c>
      <c r="J43" s="151">
        <v>420.52</v>
      </c>
      <c r="K43" s="151">
        <f>421/10*12+125</f>
        <v>630.20000000000005</v>
      </c>
      <c r="L43" s="253"/>
    </row>
    <row r="44" spans="2:12" s="44" customFormat="1" ht="20.25" hidden="1" x14ac:dyDescent="0.2">
      <c r="B44" s="43"/>
      <c r="C44" s="47" t="s">
        <v>222</v>
      </c>
      <c r="D44" s="47"/>
      <c r="E44" s="47"/>
      <c r="F44" s="47"/>
      <c r="G44" s="151"/>
      <c r="H44" s="151"/>
      <c r="I44" s="151"/>
      <c r="J44" s="151"/>
      <c r="K44" s="151"/>
      <c r="L44" s="253"/>
    </row>
    <row r="45" spans="2:12" s="44" customFormat="1" ht="20.25" x14ac:dyDescent="0.2">
      <c r="B45" s="47"/>
      <c r="C45" s="47" t="s">
        <v>112</v>
      </c>
      <c r="D45" s="47"/>
      <c r="E45" s="47"/>
      <c r="F45" s="47"/>
      <c r="G45" s="151">
        <v>205</v>
      </c>
      <c r="H45" s="151">
        <v>422.62</v>
      </c>
      <c r="I45" s="151">
        <v>265.58</v>
      </c>
      <c r="J45" s="151">
        <v>225.92</v>
      </c>
      <c r="K45" s="151">
        <f>226/8*12</f>
        <v>339</v>
      </c>
      <c r="L45" s="253"/>
    </row>
    <row r="46" spans="2:12" s="44" customFormat="1" ht="20.25" x14ac:dyDescent="0.2">
      <c r="B46" s="47"/>
      <c r="C46" s="47" t="s">
        <v>223</v>
      </c>
      <c r="D46" s="47"/>
      <c r="E46" s="47"/>
      <c r="F46" s="47"/>
      <c r="G46" s="153">
        <v>542</v>
      </c>
      <c r="H46" s="153">
        <f>248.22+18.56+28.25+5</f>
        <v>300.02999999999997</v>
      </c>
      <c r="I46" s="153">
        <v>938.98</v>
      </c>
      <c r="J46" s="153">
        <f>292.24+4514.12-J38+84.23</f>
        <v>658.70999999999958</v>
      </c>
      <c r="K46" s="153">
        <v>225</v>
      </c>
      <c r="L46" s="253"/>
    </row>
    <row r="47" spans="2:12" s="44" customFormat="1" ht="21" thickBot="1" x14ac:dyDescent="0.25">
      <c r="B47" s="43"/>
      <c r="C47" s="43"/>
      <c r="D47" s="43" t="s">
        <v>124</v>
      </c>
      <c r="E47" s="43"/>
      <c r="F47" s="43"/>
      <c r="G47" s="315">
        <f>SUM(G28:G46)</f>
        <v>347673</v>
      </c>
      <c r="H47" s="315">
        <f>SUM(H28:H46)</f>
        <v>375019.4200000001</v>
      </c>
      <c r="I47" s="315">
        <f>SUM(I28:I46)</f>
        <v>344190.97</v>
      </c>
      <c r="J47" s="315">
        <f>SUM(J28:J46)</f>
        <v>403803.55409999995</v>
      </c>
      <c r="K47" s="315">
        <f>SUM(K28:K46)</f>
        <v>472315.38</v>
      </c>
      <c r="L47" s="253"/>
    </row>
    <row r="48" spans="2:12" s="44" customFormat="1" ht="21" thickBot="1" x14ac:dyDescent="0.25">
      <c r="B48" s="43"/>
      <c r="C48" s="43"/>
      <c r="D48" s="43" t="s">
        <v>125</v>
      </c>
      <c r="E48" s="43"/>
      <c r="F48" s="43"/>
      <c r="G48" s="316">
        <f>G22-G47</f>
        <v>-14846</v>
      </c>
      <c r="H48" s="316">
        <f>H22-H47</f>
        <v>23148.419999999867</v>
      </c>
      <c r="I48" s="316">
        <f>I22-I47</f>
        <v>-39845.239999999991</v>
      </c>
      <c r="J48" s="316">
        <f>J22-J47</f>
        <v>-63565.374100000015</v>
      </c>
      <c r="K48" s="316">
        <f>K22-K47</f>
        <v>-135766.16000000003</v>
      </c>
      <c r="L48" s="253"/>
    </row>
    <row r="50" spans="3:11" s="41" customFormat="1" ht="25.5" x14ac:dyDescent="0.2">
      <c r="C50" s="47" t="s">
        <v>258</v>
      </c>
      <c r="E50" s="47"/>
      <c r="F50" s="47"/>
      <c r="G50" s="539"/>
      <c r="H50" s="539">
        <f>-69500</f>
        <v>-69500</v>
      </c>
      <c r="I50" s="47"/>
      <c r="J50" s="151"/>
      <c r="K50" s="151"/>
    </row>
    <row r="51" spans="3:11" s="44" customFormat="1" ht="20.25" x14ac:dyDescent="0.2">
      <c r="C51" s="47" t="s">
        <v>428</v>
      </c>
      <c r="E51" s="43"/>
      <c r="G51" s="151">
        <f>G36</f>
        <v>25080</v>
      </c>
      <c r="H51" s="151">
        <f>H36</f>
        <v>24029.68</v>
      </c>
      <c r="I51" s="151">
        <f>I36</f>
        <v>31769</v>
      </c>
      <c r="J51" s="151">
        <f>J36</f>
        <v>30384</v>
      </c>
      <c r="K51" s="151">
        <f>K36</f>
        <v>30834</v>
      </c>
    </row>
    <row r="52" spans="3:11" s="44" customFormat="1" ht="21" thickBot="1" x14ac:dyDescent="0.25">
      <c r="C52" s="43"/>
      <c r="D52" s="795" t="s">
        <v>225</v>
      </c>
      <c r="E52" s="795"/>
      <c r="F52" s="795"/>
      <c r="G52" s="317">
        <f>G48+G50+G51</f>
        <v>10234</v>
      </c>
      <c r="H52" s="317">
        <f>H48+H50+H51</f>
        <v>-22321.900000000132</v>
      </c>
      <c r="I52" s="317">
        <f>I48+I50+I51</f>
        <v>-8076.2399999999907</v>
      </c>
      <c r="J52" s="317">
        <f>J48+J50+J51</f>
        <v>-33181.374100000015</v>
      </c>
      <c r="K52" s="317">
        <f>K48+K50+K51</f>
        <v>-104932.16000000003</v>
      </c>
    </row>
    <row r="53" spans="3:11" s="44" customFormat="1" ht="42" customHeight="1" thickTop="1" x14ac:dyDescent="0.2">
      <c r="C53" s="43"/>
      <c r="D53" s="43"/>
      <c r="E53" s="43"/>
      <c r="F53" s="43"/>
      <c r="G53" s="43"/>
      <c r="H53" s="43"/>
      <c r="I53" s="43"/>
      <c r="J53" s="151"/>
      <c r="K53" s="151"/>
    </row>
    <row r="54" spans="3:11" s="44" customFormat="1" ht="20.25" x14ac:dyDescent="0.2">
      <c r="C54" s="47"/>
      <c r="D54" s="47"/>
      <c r="F54" s="47" t="s">
        <v>297</v>
      </c>
      <c r="G54" s="151">
        <v>225930</v>
      </c>
      <c r="H54" s="151">
        <v>227723</v>
      </c>
      <c r="I54" s="151">
        <v>178666</v>
      </c>
      <c r="J54" s="151">
        <v>206080</v>
      </c>
      <c r="K54" s="151">
        <v>226000</v>
      </c>
    </row>
    <row r="55" spans="3:11" s="44" customFormat="1" ht="21" thickBot="1" x14ac:dyDescent="0.25">
      <c r="C55" s="47"/>
      <c r="D55" s="47"/>
      <c r="F55" s="47" t="s">
        <v>302</v>
      </c>
      <c r="G55" s="411">
        <f>(G47-G36-G37)/G54</f>
        <v>1.386615323330235</v>
      </c>
      <c r="H55" s="411">
        <f>(H47-H36-H37)/H54</f>
        <v>1.5003962709080774</v>
      </c>
      <c r="I55" s="411">
        <f>(I47-I36-I37)/I54</f>
        <v>1.6965005653006167</v>
      </c>
      <c r="J55" s="411">
        <f>(J47-J36-J37)/J54</f>
        <v>1.7608285816187885</v>
      </c>
      <c r="K55" s="411">
        <f>(K47-K36-K37)/K54</f>
        <v>1.9067848672566372</v>
      </c>
    </row>
    <row r="56" spans="3:11" s="44" customFormat="1" ht="20.25" x14ac:dyDescent="0.2">
      <c r="C56" s="47"/>
      <c r="D56" s="47"/>
      <c r="F56" s="47"/>
      <c r="G56" s="47"/>
      <c r="H56" s="151"/>
      <c r="I56" s="151"/>
      <c r="J56" s="151"/>
      <c r="K56" s="151"/>
    </row>
    <row r="57" spans="3:11" s="44" customFormat="1" ht="20.25" x14ac:dyDescent="0.2">
      <c r="C57" s="47"/>
      <c r="D57" s="47"/>
      <c r="F57" s="47" t="s">
        <v>298</v>
      </c>
      <c r="G57" s="151">
        <v>15755</v>
      </c>
      <c r="H57" s="151">
        <v>16457</v>
      </c>
      <c r="I57" s="151">
        <v>10151</v>
      </c>
      <c r="J57" s="151">
        <v>10428</v>
      </c>
      <c r="K57" s="151">
        <v>11740</v>
      </c>
    </row>
    <row r="58" spans="3:11" s="44" customFormat="1" ht="21" thickBot="1" x14ac:dyDescent="0.25">
      <c r="C58" s="47"/>
      <c r="D58" s="47"/>
      <c r="F58" s="47" t="s">
        <v>355</v>
      </c>
      <c r="G58" s="411">
        <f>(G47-G36-G37)/G57</f>
        <v>19.884354173278325</v>
      </c>
      <c r="H58" s="411">
        <f>(H47-H36-H37)/H57</f>
        <v>20.761666160296535</v>
      </c>
      <c r="I58" s="411">
        <f>(I47-I36-I37)/I57</f>
        <v>29.859813811447147</v>
      </c>
      <c r="J58" s="411">
        <f>(J47-J36-J37)/J57</f>
        <v>34.797809177215186</v>
      </c>
      <c r="K58" s="411">
        <f>(K47-K36-K37)/K57</f>
        <v>36.706420783645655</v>
      </c>
    </row>
    <row r="59" spans="3:11" s="44" customFormat="1" ht="20.25" x14ac:dyDescent="0.2">
      <c r="C59" s="47"/>
      <c r="D59" s="47"/>
      <c r="F59" s="47"/>
      <c r="G59" s="47"/>
      <c r="H59" s="151"/>
      <c r="I59" s="151"/>
      <c r="J59" s="151"/>
      <c r="K59" s="151"/>
    </row>
    <row r="60" spans="3:11" s="44" customFormat="1" ht="20.25" hidden="1" x14ac:dyDescent="0.2">
      <c r="C60" s="43"/>
      <c r="D60" s="47"/>
      <c r="F60" s="47" t="s">
        <v>299</v>
      </c>
      <c r="G60" s="47"/>
      <c r="H60" s="151">
        <v>2102</v>
      </c>
      <c r="I60" s="151">
        <v>2696</v>
      </c>
      <c r="J60" s="151">
        <v>2714</v>
      </c>
      <c r="K60" s="151">
        <v>2714</v>
      </c>
    </row>
    <row r="61" spans="3:11" s="44" customFormat="1" ht="21" hidden="1" thickBot="1" x14ac:dyDescent="0.25">
      <c r="C61" s="47"/>
      <c r="D61" s="47"/>
      <c r="E61" s="47"/>
      <c r="F61" s="47" t="s">
        <v>356</v>
      </c>
      <c r="G61" s="47"/>
      <c r="H61" s="411">
        <f>H10/H60</f>
        <v>5.8413035204567079</v>
      </c>
      <c r="I61" s="411">
        <f>I9/I60</f>
        <v>25.248538575667656</v>
      </c>
      <c r="J61" s="411">
        <f>J9/J60</f>
        <v>31.557439204126752</v>
      </c>
      <c r="K61" s="411">
        <f>K9/K60</f>
        <v>32.464893146647015</v>
      </c>
    </row>
    <row r="62" spans="3:11" s="44" customFormat="1" ht="20.25" hidden="1" x14ac:dyDescent="0.2">
      <c r="C62" s="43"/>
      <c r="D62" s="43"/>
      <c r="I62" s="151"/>
      <c r="J62" s="151"/>
      <c r="K62" s="151"/>
    </row>
    <row r="63" spans="3:11" s="44" customFormat="1" ht="20.25" hidden="1" x14ac:dyDescent="0.2">
      <c r="C63" s="47"/>
      <c r="D63" s="47"/>
      <c r="E63" s="47"/>
      <c r="F63" s="47" t="s">
        <v>458</v>
      </c>
      <c r="G63" s="47"/>
      <c r="H63" s="151">
        <v>195138</v>
      </c>
      <c r="I63" s="151">
        <v>104281</v>
      </c>
      <c r="J63" s="151">
        <v>114885</v>
      </c>
      <c r="K63" s="151">
        <v>134000</v>
      </c>
    </row>
    <row r="64" spans="3:11" s="44" customFormat="1" ht="21" hidden="1" thickBot="1" x14ac:dyDescent="0.25">
      <c r="C64" s="47"/>
      <c r="D64" s="47"/>
      <c r="E64" s="47"/>
      <c r="F64" s="47" t="s">
        <v>302</v>
      </c>
      <c r="G64" s="47"/>
      <c r="H64" s="411">
        <f>(H47-H36-H37)/H63</f>
        <v>1.7509390277649668</v>
      </c>
      <c r="I64" s="411">
        <f>(I47-I36-I37)/I63</f>
        <v>2.9066365876813607</v>
      </c>
      <c r="J64" s="411">
        <f>(J47-J36-J37)/J63</f>
        <v>3.1585633816425118</v>
      </c>
      <c r="K64" s="411">
        <f>(K47-K36-K37)/K63</f>
        <v>3.2159207462686568</v>
      </c>
    </row>
    <row r="66" spans="6:11" s="44" customFormat="1" ht="20.25" hidden="1" x14ac:dyDescent="0.2">
      <c r="F66" s="47" t="s">
        <v>458</v>
      </c>
      <c r="G66" s="47"/>
      <c r="H66" s="151">
        <v>195138</v>
      </c>
      <c r="I66" s="151">
        <v>104281</v>
      </c>
      <c r="J66" s="151">
        <v>114885</v>
      </c>
      <c r="K66" s="151">
        <f>K63</f>
        <v>134000</v>
      </c>
    </row>
    <row r="67" spans="6:11" s="44" customFormat="1" ht="20.25" hidden="1" x14ac:dyDescent="0.2">
      <c r="F67" s="47" t="s">
        <v>298</v>
      </c>
      <c r="G67" s="47"/>
      <c r="H67" s="151">
        <v>16457</v>
      </c>
      <c r="I67" s="151">
        <v>10151</v>
      </c>
      <c r="J67" s="151">
        <v>10428</v>
      </c>
      <c r="K67" s="151">
        <f>K57</f>
        <v>11740</v>
      </c>
    </row>
    <row r="68" spans="6:11" s="44" customFormat="1" ht="21" hidden="1" thickBot="1" x14ac:dyDescent="0.25">
      <c r="F68" s="47" t="s">
        <v>459</v>
      </c>
      <c r="G68" s="47"/>
      <c r="H68" s="540">
        <f>H66/H67</f>
        <v>11.857446679224646</v>
      </c>
      <c r="I68" s="540">
        <f>I66/I67</f>
        <v>10.272978031721014</v>
      </c>
      <c r="J68" s="540">
        <f>J66/J67</f>
        <v>11.016973532796317</v>
      </c>
      <c r="K68" s="540">
        <f>K66/K67</f>
        <v>11.41396933560477</v>
      </c>
    </row>
    <row r="69" spans="6:11" s="44" customFormat="1" ht="20.25" hidden="1" x14ac:dyDescent="0.2">
      <c r="F69" s="43"/>
      <c r="G69" s="43"/>
      <c r="H69" s="43"/>
      <c r="I69" s="154"/>
      <c r="J69" s="154"/>
      <c r="K69" s="154"/>
    </row>
    <row r="70" spans="6:11" s="44" customFormat="1" ht="20.25" hidden="1" x14ac:dyDescent="0.2">
      <c r="F70" s="47" t="s">
        <v>460</v>
      </c>
      <c r="G70" s="47"/>
      <c r="H70" s="151">
        <v>227723</v>
      </c>
      <c r="I70" s="151">
        <v>178666</v>
      </c>
      <c r="J70" s="151">
        <v>206080</v>
      </c>
      <c r="K70" s="151">
        <f>K54</f>
        <v>226000</v>
      </c>
    </row>
    <row r="71" spans="6:11" s="44" customFormat="1" ht="20.25" hidden="1" x14ac:dyDescent="0.2">
      <c r="F71" s="47" t="s">
        <v>298</v>
      </c>
      <c r="G71" s="47"/>
      <c r="H71" s="151">
        <v>16457</v>
      </c>
      <c r="I71" s="151">
        <v>10151</v>
      </c>
      <c r="J71" s="151">
        <v>10428</v>
      </c>
      <c r="K71" s="151">
        <f>K57</f>
        <v>11740</v>
      </c>
    </row>
    <row r="72" spans="6:11" s="44" customFormat="1" ht="21" hidden="1" thickBot="1" x14ac:dyDescent="0.25">
      <c r="F72" s="47" t="s">
        <v>461</v>
      </c>
      <c r="G72" s="47"/>
      <c r="H72" s="540">
        <f>H70/H71</f>
        <v>13.837455186242936</v>
      </c>
      <c r="I72" s="540">
        <f>I70/I71</f>
        <v>17.600827504679341</v>
      </c>
      <c r="J72" s="540">
        <f>J70/J71</f>
        <v>19.762178749520523</v>
      </c>
      <c r="K72" s="540">
        <f>K70/K71</f>
        <v>19.250425894378193</v>
      </c>
    </row>
    <row r="73" spans="6:11" s="44" customFormat="1" ht="20.25" hidden="1" x14ac:dyDescent="0.2">
      <c r="F73" s="47"/>
      <c r="G73" s="47"/>
      <c r="H73" s="541"/>
      <c r="I73" s="541"/>
      <c r="J73" s="541"/>
      <c r="K73" s="541"/>
    </row>
    <row r="74" spans="6:11" s="44" customFormat="1" ht="20.25" hidden="1" x14ac:dyDescent="0.2">
      <c r="F74" s="542" t="s">
        <v>462</v>
      </c>
      <c r="G74" s="542"/>
      <c r="H74" s="43"/>
      <c r="I74" s="43"/>
      <c r="J74" s="154"/>
      <c r="K74" s="154"/>
    </row>
    <row r="75" spans="6:11" s="44" customFormat="1" ht="20.25" hidden="1" x14ac:dyDescent="0.2">
      <c r="F75" s="43" t="s">
        <v>463</v>
      </c>
      <c r="G75" s="43"/>
      <c r="H75" s="543">
        <f t="shared" ref="H75:J75" si="0">H28+(H28*0.21)+H32+H34</f>
        <v>237890.76749999999</v>
      </c>
      <c r="I75" s="543">
        <f t="shared" si="0"/>
        <v>188101.25649999999</v>
      </c>
      <c r="J75" s="543">
        <f t="shared" si="0"/>
        <v>232210.04700000002</v>
      </c>
      <c r="K75" s="543">
        <f>K28+(K28*0.2)+K32+K34</f>
        <v>290400</v>
      </c>
    </row>
    <row r="76" spans="6:11" s="44" customFormat="1" ht="20.25" hidden="1" x14ac:dyDescent="0.2">
      <c r="F76" s="43" t="s">
        <v>464</v>
      </c>
      <c r="G76" s="43"/>
      <c r="H76" s="154">
        <f>H47-H75-H77</f>
        <v>103783.97250000012</v>
      </c>
      <c r="I76" s="154">
        <f>I47-I75-I77</f>
        <v>115005.71349999998</v>
      </c>
      <c r="J76" s="154">
        <f>J47-J75-J77</f>
        <v>130661.50709999993</v>
      </c>
      <c r="K76" s="154">
        <f>K47-K75-K77</f>
        <v>140533.38</v>
      </c>
    </row>
    <row r="77" spans="6:11" s="44" customFormat="1" ht="20.25" hidden="1" x14ac:dyDescent="0.2">
      <c r="F77" s="43" t="s">
        <v>465</v>
      </c>
      <c r="G77" s="43"/>
      <c r="H77" s="154">
        <f>H36+H37</f>
        <v>33344.68</v>
      </c>
      <c r="I77" s="154">
        <f>I36+I37</f>
        <v>41084</v>
      </c>
      <c r="J77" s="154">
        <f>J36+J37</f>
        <v>40932</v>
      </c>
      <c r="K77" s="154">
        <f>K36+K37</f>
        <v>41382</v>
      </c>
    </row>
    <row r="78" spans="6:11" s="44" customFormat="1" ht="21" hidden="1" thickBot="1" x14ac:dyDescent="0.25">
      <c r="F78" s="43" t="s">
        <v>466</v>
      </c>
      <c r="G78" s="43"/>
      <c r="H78" s="544">
        <f>SUM(H75:H77)</f>
        <v>375019.4200000001</v>
      </c>
      <c r="I78" s="544">
        <f>SUM(I75:I77)</f>
        <v>344190.97</v>
      </c>
      <c r="J78" s="544">
        <f>SUM(J75:J77)</f>
        <v>403803.55409999995</v>
      </c>
      <c r="K78" s="544">
        <f>SUM(K75:K77)</f>
        <v>472315.38</v>
      </c>
    </row>
    <row r="79" spans="6:11" s="44" customFormat="1" ht="20.25" hidden="1" x14ac:dyDescent="0.2">
      <c r="F79" s="43" t="s">
        <v>467</v>
      </c>
      <c r="G79" s="43"/>
      <c r="H79" s="545">
        <v>195138</v>
      </c>
      <c r="I79" s="545">
        <v>104281</v>
      </c>
      <c r="J79" s="546">
        <f>J63</f>
        <v>114885</v>
      </c>
      <c r="K79" s="546">
        <f>K63</f>
        <v>134000</v>
      </c>
    </row>
    <row r="80" spans="6:11" s="44" customFormat="1" ht="20.25" hidden="1" x14ac:dyDescent="0.2">
      <c r="F80" s="43" t="s">
        <v>468</v>
      </c>
      <c r="G80" s="43"/>
      <c r="H80" s="547">
        <f>H75/H79</f>
        <v>1.2190899132921316</v>
      </c>
      <c r="I80" s="547">
        <f>I75/I79</f>
        <v>1.8037922200592629</v>
      </c>
      <c r="J80" s="547">
        <f>J75/J79</f>
        <v>2.0212390390390391</v>
      </c>
      <c r="K80" s="547">
        <f>K75/K79</f>
        <v>2.1671641791044776</v>
      </c>
    </row>
    <row r="81" spans="6:11" s="44" customFormat="1" ht="20.25" hidden="1" x14ac:dyDescent="0.2">
      <c r="F81" s="43" t="s">
        <v>469</v>
      </c>
      <c r="G81" s="43"/>
      <c r="H81" s="547">
        <f>H76/H57</f>
        <v>6.3063725162544886</v>
      </c>
      <c r="I81" s="547">
        <f>I76/I57</f>
        <v>11.329495960989064</v>
      </c>
      <c r="J81" s="547">
        <f>J76/J57</f>
        <v>12.529872180667427</v>
      </c>
      <c r="K81" s="547">
        <f>K76/K57</f>
        <v>11.970475298126065</v>
      </c>
    </row>
    <row r="82" spans="6:11" s="44" customFormat="1" ht="20.25" hidden="1" x14ac:dyDescent="0.2">
      <c r="F82" s="43"/>
      <c r="G82" s="43"/>
      <c r="H82" s="43"/>
      <c r="I82" s="547"/>
      <c r="J82" s="547"/>
      <c r="K82" s="547"/>
    </row>
    <row r="83" spans="6:11" s="44" customFormat="1" ht="20.25" hidden="1" x14ac:dyDescent="0.2">
      <c r="H83" s="47"/>
      <c r="I83" s="47"/>
      <c r="J83" s="151"/>
      <c r="K83" s="151"/>
    </row>
    <row r="84" spans="6:11" s="44" customFormat="1" ht="20.25" hidden="1" x14ac:dyDescent="0.2">
      <c r="F84" s="43" t="s">
        <v>463</v>
      </c>
      <c r="G84" s="43"/>
      <c r="H84" s="154">
        <f>H24-H85-H86</f>
        <v>238182.86749999985</v>
      </c>
      <c r="I84" s="154">
        <f>I22-I85-I86</f>
        <v>180025.0165</v>
      </c>
      <c r="J84" s="154">
        <f>J22-J85-J86</f>
        <v>199028.67290000001</v>
      </c>
      <c r="K84" s="154">
        <f>K22-K85-K86</f>
        <v>185467.83999999997</v>
      </c>
    </row>
    <row r="85" spans="6:11" s="44" customFormat="1" ht="20.25" hidden="1" x14ac:dyDescent="0.2">
      <c r="F85" s="43" t="s">
        <v>464</v>
      </c>
      <c r="G85" s="43"/>
      <c r="H85" s="545">
        <f>H76</f>
        <v>103783.97250000012</v>
      </c>
      <c r="I85" s="545">
        <f>I76</f>
        <v>115005.71349999998</v>
      </c>
      <c r="J85" s="154">
        <f>J76</f>
        <v>130661.50709999993</v>
      </c>
      <c r="K85" s="154">
        <f>K76</f>
        <v>140533.38</v>
      </c>
    </row>
    <row r="86" spans="6:11" s="44" customFormat="1" ht="20.25" hidden="1" x14ac:dyDescent="0.2">
      <c r="F86" s="43" t="s">
        <v>470</v>
      </c>
      <c r="G86" s="43"/>
      <c r="H86" s="545">
        <f>H18</f>
        <v>9315</v>
      </c>
      <c r="I86" s="545">
        <f>I18</f>
        <v>9315</v>
      </c>
      <c r="J86" s="154">
        <f>J37</f>
        <v>10548</v>
      </c>
      <c r="K86" s="154">
        <f>K37</f>
        <v>10548</v>
      </c>
    </row>
    <row r="87" spans="6:11" s="51" customFormat="1" ht="27" hidden="1" thickBot="1" x14ac:dyDescent="0.25">
      <c r="F87" s="43" t="s">
        <v>471</v>
      </c>
      <c r="G87" s="43"/>
      <c r="H87" s="494">
        <f>SUM(H84:H86)</f>
        <v>351281.83999999997</v>
      </c>
      <c r="I87" s="494">
        <f>SUM(I84:I86)</f>
        <v>304345.73</v>
      </c>
      <c r="J87" s="494">
        <f>SUM(J84:J86)</f>
        <v>340238.17999999993</v>
      </c>
      <c r="K87" s="494">
        <f>SUM(K84:K86)</f>
        <v>336549.22</v>
      </c>
    </row>
    <row r="88" spans="6:11" s="51" customFormat="1" ht="26.25" hidden="1" x14ac:dyDescent="0.2">
      <c r="F88" s="43" t="s">
        <v>472</v>
      </c>
      <c r="G88" s="43"/>
      <c r="H88" s="154">
        <f>H67</f>
        <v>16457</v>
      </c>
      <c r="I88" s="154">
        <f>I67</f>
        <v>10151</v>
      </c>
      <c r="J88" s="154">
        <f>J57</f>
        <v>10428</v>
      </c>
      <c r="K88" s="154">
        <v>11740</v>
      </c>
    </row>
    <row r="89" spans="6:11" ht="20.25" hidden="1" x14ac:dyDescent="0.3">
      <c r="F89" s="43" t="s">
        <v>473</v>
      </c>
      <c r="G89" s="43"/>
      <c r="H89" s="549">
        <f>H84/H80/H68</f>
        <v>16477.207130148494</v>
      </c>
      <c r="I89" s="549">
        <f>I84/I80/I68</f>
        <v>9715.1607410527849</v>
      </c>
      <c r="J89" s="549">
        <f>J84/J80/J68</f>
        <v>8937.9035395535666</v>
      </c>
      <c r="K89" s="549">
        <f>K84/K80/K68</f>
        <v>7497.9078567493098</v>
      </c>
    </row>
    <row r="90" spans="6:11" ht="20.25" hidden="1" x14ac:dyDescent="0.3">
      <c r="F90" s="43" t="s">
        <v>474</v>
      </c>
      <c r="G90" s="43"/>
      <c r="H90" s="550">
        <f>H89-H88</f>
        <v>20.207130148493889</v>
      </c>
      <c r="I90" s="550">
        <f>I89-I88</f>
        <v>-435.83925894721506</v>
      </c>
      <c r="J90" s="550">
        <f>J89-J88</f>
        <v>-1490.0964604464334</v>
      </c>
      <c r="K90" s="550">
        <f>K89-K88</f>
        <v>-4242.0921432506902</v>
      </c>
    </row>
    <row r="91" spans="6:11" ht="20.25" hidden="1" x14ac:dyDescent="0.3">
      <c r="F91" s="43" t="s">
        <v>468</v>
      </c>
      <c r="G91" s="43"/>
      <c r="H91" s="551">
        <f>H84/(H89*H68)</f>
        <v>1.2190899132921318</v>
      </c>
      <c r="I91" s="551">
        <f>I84/(I89*I68)</f>
        <v>1.8037922200592629</v>
      </c>
      <c r="J91" s="551">
        <f>J84/(J89*J68)</f>
        <v>2.0212390390390391</v>
      </c>
      <c r="K91" s="551">
        <f>K84/(K89*K68)</f>
        <v>2.1671641791044776</v>
      </c>
    </row>
    <row r="92" spans="6:11" ht="20.25" hidden="1" x14ac:dyDescent="0.3">
      <c r="F92" s="43" t="s">
        <v>469</v>
      </c>
      <c r="G92" s="43"/>
      <c r="H92" s="551">
        <f>H85/H89</f>
        <v>6.2986385787495296</v>
      </c>
      <c r="I92" s="551">
        <f>I85/I89</f>
        <v>11.837757147344673</v>
      </c>
      <c r="J92" s="551">
        <f>J85/J89</f>
        <v>14.618809267942297</v>
      </c>
      <c r="K92" s="551">
        <f>K85/K89</f>
        <v>18.743012408921192</v>
      </c>
    </row>
    <row r="93" spans="6:11" ht="20.25" hidden="1" x14ac:dyDescent="0.3">
      <c r="F93" s="43"/>
      <c r="G93" s="43"/>
      <c r="H93" s="43"/>
      <c r="I93" s="551"/>
      <c r="J93" s="551"/>
      <c r="K93" s="551"/>
    </row>
    <row r="94" spans="6:11" ht="20.25" hidden="1" x14ac:dyDescent="0.3">
      <c r="J94" s="184"/>
      <c r="K94" s="184"/>
    </row>
    <row r="95" spans="6:11" ht="20.25" hidden="1" x14ac:dyDescent="0.3">
      <c r="J95" s="184"/>
      <c r="K95" s="184"/>
    </row>
    <row r="96" spans="6:11" ht="20.25" hidden="1" x14ac:dyDescent="0.3">
      <c r="F96" s="542" t="s">
        <v>475</v>
      </c>
      <c r="G96" s="542"/>
      <c r="J96" s="184"/>
      <c r="K96" s="184"/>
    </row>
    <row r="97" spans="6:11" ht="20.25" hidden="1" x14ac:dyDescent="0.25">
      <c r="F97" s="43" t="s">
        <v>463</v>
      </c>
      <c r="G97" s="43"/>
      <c r="H97" s="543">
        <f t="shared" ref="H97:J99" si="1">H75</f>
        <v>237890.76749999999</v>
      </c>
      <c r="I97" s="543">
        <f t="shared" si="1"/>
        <v>188101.25649999999</v>
      </c>
      <c r="J97" s="543">
        <f t="shared" si="1"/>
        <v>232210.04700000002</v>
      </c>
      <c r="K97" s="543">
        <f>K75</f>
        <v>290400</v>
      </c>
    </row>
    <row r="98" spans="6:11" ht="20.25" hidden="1" x14ac:dyDescent="0.25">
      <c r="F98" s="43" t="s">
        <v>464</v>
      </c>
      <c r="G98" s="43"/>
      <c r="H98" s="154">
        <f t="shared" si="1"/>
        <v>103783.97250000012</v>
      </c>
      <c r="I98" s="154">
        <f t="shared" si="1"/>
        <v>115005.71349999998</v>
      </c>
      <c r="J98" s="154">
        <f t="shared" si="1"/>
        <v>130661.50709999993</v>
      </c>
      <c r="K98" s="154">
        <f>K76</f>
        <v>140533.38</v>
      </c>
    </row>
    <row r="99" spans="6:11" ht="20.25" hidden="1" x14ac:dyDescent="0.25">
      <c r="F99" s="43" t="s">
        <v>465</v>
      </c>
      <c r="G99" s="43"/>
      <c r="H99" s="154">
        <f t="shared" si="1"/>
        <v>33344.68</v>
      </c>
      <c r="I99" s="154">
        <f t="shared" si="1"/>
        <v>41084</v>
      </c>
      <c r="J99" s="154">
        <f t="shared" si="1"/>
        <v>40932</v>
      </c>
      <c r="K99" s="154">
        <f>K77</f>
        <v>41382</v>
      </c>
    </row>
    <row r="100" spans="6:11" ht="21" hidden="1" thickBot="1" x14ac:dyDescent="0.3">
      <c r="F100" s="43" t="s">
        <v>466</v>
      </c>
      <c r="G100" s="43"/>
      <c r="H100" s="544">
        <f>SUM(H97:H99)</f>
        <v>375019.4200000001</v>
      </c>
      <c r="I100" s="544">
        <f>SUM(I97:I99)</f>
        <v>344190.97</v>
      </c>
      <c r="J100" s="544">
        <f>SUM(J97:J99)</f>
        <v>403803.55409999995</v>
      </c>
      <c r="K100" s="544">
        <f>SUM(K97:K99)</f>
        <v>472315.38</v>
      </c>
    </row>
    <row r="101" spans="6:11" ht="20.25" hidden="1" x14ac:dyDescent="0.25">
      <c r="F101" s="43" t="s">
        <v>476</v>
      </c>
      <c r="G101" s="43"/>
      <c r="H101" s="154">
        <f>H54</f>
        <v>227723</v>
      </c>
      <c r="I101" s="154">
        <f t="shared" ref="I101:K101" si="2">I54</f>
        <v>178666</v>
      </c>
      <c r="J101" s="154">
        <f t="shared" si="2"/>
        <v>206080</v>
      </c>
      <c r="K101" s="154">
        <f t="shared" si="2"/>
        <v>226000</v>
      </c>
    </row>
    <row r="102" spans="6:11" ht="20.25" hidden="1" x14ac:dyDescent="0.25">
      <c r="F102" s="43" t="s">
        <v>477</v>
      </c>
      <c r="G102" s="43"/>
      <c r="H102" s="547">
        <f>H97/H101</f>
        <v>1.0446497169807178</v>
      </c>
      <c r="I102" s="547">
        <f>I97/I101</f>
        <v>1.0528094685054794</v>
      </c>
      <c r="J102" s="547">
        <f>J97/J101</f>
        <v>1.1267956473214287</v>
      </c>
      <c r="K102" s="547">
        <f>K97/K101</f>
        <v>1.2849557522123893</v>
      </c>
    </row>
    <row r="103" spans="6:11" ht="20.25" hidden="1" x14ac:dyDescent="0.25">
      <c r="F103" s="43" t="s">
        <v>469</v>
      </c>
      <c r="G103" s="43"/>
      <c r="H103" s="547">
        <f t="shared" ref="H103:K103" si="3">H98/H57</f>
        <v>6.3063725162544886</v>
      </c>
      <c r="I103" s="547">
        <f t="shared" si="3"/>
        <v>11.329495960989064</v>
      </c>
      <c r="J103" s="547">
        <f t="shared" si="3"/>
        <v>12.529872180667427</v>
      </c>
      <c r="K103" s="547">
        <f t="shared" si="3"/>
        <v>11.970475298126065</v>
      </c>
    </row>
    <row r="104" spans="6:11" ht="20.25" hidden="1" x14ac:dyDescent="0.3">
      <c r="H104" s="184"/>
      <c r="I104" s="184"/>
      <c r="J104" s="184"/>
      <c r="K104" s="184"/>
    </row>
    <row r="105" spans="6:11" ht="20.25" hidden="1" x14ac:dyDescent="0.25">
      <c r="H105" s="151"/>
      <c r="I105" s="151"/>
      <c r="J105" s="151"/>
      <c r="K105" s="151"/>
    </row>
    <row r="106" spans="6:11" ht="20.25" hidden="1" x14ac:dyDescent="0.25">
      <c r="F106" s="43" t="s">
        <v>463</v>
      </c>
      <c r="G106" s="43"/>
      <c r="H106" s="154">
        <f>H24-H107-H108</f>
        <v>238182.86749999985</v>
      </c>
      <c r="I106" s="154">
        <f>I22-I107-I108</f>
        <v>180025.0165</v>
      </c>
      <c r="J106" s="154">
        <f>J22-J107-J108</f>
        <v>199028.67290000001</v>
      </c>
      <c r="K106" s="154">
        <f>K22-K107-K108</f>
        <v>185467.83999999997</v>
      </c>
    </row>
    <row r="107" spans="6:11" ht="20.25" hidden="1" x14ac:dyDescent="0.25">
      <c r="F107" s="43" t="s">
        <v>464</v>
      </c>
      <c r="G107" s="43"/>
      <c r="H107" s="154">
        <f t="shared" ref="H107:I107" si="4">H98</f>
        <v>103783.97250000012</v>
      </c>
      <c r="I107" s="154">
        <f t="shared" si="4"/>
        <v>115005.71349999998</v>
      </c>
      <c r="J107" s="154">
        <f>J98</f>
        <v>130661.50709999993</v>
      </c>
      <c r="K107" s="154">
        <f t="shared" ref="K107" si="5">K98</f>
        <v>140533.38</v>
      </c>
    </row>
    <row r="108" spans="6:11" ht="20.25" hidden="1" x14ac:dyDescent="0.25">
      <c r="F108" s="43" t="s">
        <v>100</v>
      </c>
      <c r="G108" s="43"/>
      <c r="H108" s="154">
        <f>H37</f>
        <v>9315</v>
      </c>
      <c r="I108" s="154">
        <f>I37</f>
        <v>9315</v>
      </c>
      <c r="J108" s="154">
        <f>J37</f>
        <v>10548</v>
      </c>
      <c r="K108" s="154">
        <f>K37</f>
        <v>10548</v>
      </c>
    </row>
    <row r="109" spans="6:11" ht="21" hidden="1" thickBot="1" x14ac:dyDescent="0.3">
      <c r="F109" s="43" t="s">
        <v>471</v>
      </c>
      <c r="G109" s="43"/>
      <c r="H109" s="494">
        <f>SUM(H106:H108)</f>
        <v>351281.83999999997</v>
      </c>
      <c r="I109" s="494">
        <f>SUM(I106:I108)</f>
        <v>304345.73</v>
      </c>
      <c r="J109" s="494">
        <f>SUM(J106:J108)</f>
        <v>340238.17999999993</v>
      </c>
      <c r="K109" s="494">
        <f>SUM(K106:K108)</f>
        <v>336549.22</v>
      </c>
    </row>
    <row r="110" spans="6:11" ht="20.25" hidden="1" x14ac:dyDescent="0.25">
      <c r="F110" s="43" t="s">
        <v>472</v>
      </c>
      <c r="G110" s="43"/>
      <c r="H110" s="154">
        <f>H88</f>
        <v>16457</v>
      </c>
      <c r="I110" s="154">
        <f>I88</f>
        <v>10151</v>
      </c>
      <c r="J110" s="154">
        <f>J88</f>
        <v>10428</v>
      </c>
      <c r="K110" s="154">
        <f>K88</f>
        <v>11740</v>
      </c>
    </row>
    <row r="111" spans="6:11" ht="20.25" hidden="1" x14ac:dyDescent="0.3">
      <c r="F111" s="43" t="s">
        <v>473</v>
      </c>
      <c r="G111" s="43"/>
      <c r="H111" s="549">
        <f t="shared" ref="H111:K111" si="6">H106/H102/H72</f>
        <v>16477.207130148494</v>
      </c>
      <c r="I111" s="549">
        <f t="shared" si="6"/>
        <v>9715.1607410527868</v>
      </c>
      <c r="J111" s="549">
        <f t="shared" si="6"/>
        <v>8937.9035395535648</v>
      </c>
      <c r="K111" s="549">
        <f t="shared" si="6"/>
        <v>7497.9078567493116</v>
      </c>
    </row>
    <row r="112" spans="6:11" ht="20.25" hidden="1" x14ac:dyDescent="0.3">
      <c r="F112" s="43" t="s">
        <v>474</v>
      </c>
      <c r="G112" s="43"/>
      <c r="H112" s="550">
        <f>H111-H110</f>
        <v>20.207130148493889</v>
      </c>
      <c r="I112" s="550">
        <f>I111-I110</f>
        <v>-435.83925894721324</v>
      </c>
      <c r="J112" s="550">
        <f>J111-J110</f>
        <v>-1490.0964604464352</v>
      </c>
      <c r="K112" s="550">
        <f>K111-K110</f>
        <v>-4242.0921432506884</v>
      </c>
    </row>
    <row r="113" spans="6:11" ht="20.25" hidden="1" x14ac:dyDescent="0.3">
      <c r="F113" s="43" t="s">
        <v>477</v>
      </c>
      <c r="G113" s="43"/>
      <c r="H113" s="551">
        <f>H106/(H111*H72)</f>
        <v>1.0446497169807178</v>
      </c>
      <c r="I113" s="551">
        <f t="shared" ref="I113:K113" si="7">I106/(I111*I72)</f>
        <v>1.0528094685054794</v>
      </c>
      <c r="J113" s="551">
        <f t="shared" si="7"/>
        <v>1.1267956473214289</v>
      </c>
      <c r="K113" s="551">
        <f t="shared" si="7"/>
        <v>1.2849557522123893</v>
      </c>
    </row>
    <row r="114" spans="6:11" ht="20.25" hidden="1" x14ac:dyDescent="0.3">
      <c r="F114" s="43" t="s">
        <v>478</v>
      </c>
      <c r="G114" s="43"/>
      <c r="H114" s="551">
        <f>H107/H111</f>
        <v>6.2986385787495296</v>
      </c>
      <c r="I114" s="551">
        <f>I107/I111</f>
        <v>11.837757147344671</v>
      </c>
      <c r="J114" s="551">
        <f>J107/J111</f>
        <v>14.618809267942298</v>
      </c>
      <c r="K114" s="551">
        <f>K107/K111</f>
        <v>18.743012408921185</v>
      </c>
    </row>
    <row r="115" spans="6:11" ht="20.25" x14ac:dyDescent="0.25">
      <c r="F115" s="43" t="s">
        <v>479</v>
      </c>
      <c r="G115" s="151">
        <f>G28+G32+G34+G28*0.21</f>
        <v>216908.68</v>
      </c>
      <c r="H115" s="151">
        <f t="shared" ref="H115:K115" si="8">H28+H32+H34+H28*0.21</f>
        <v>237890.76750000002</v>
      </c>
      <c r="I115" s="151">
        <f t="shared" si="8"/>
        <v>188101.25650000002</v>
      </c>
      <c r="J115" s="151">
        <f t="shared" si="8"/>
        <v>232210.04700000002</v>
      </c>
      <c r="K115" s="151">
        <f t="shared" si="8"/>
        <v>292430</v>
      </c>
    </row>
    <row r="116" spans="6:11" ht="20.25" x14ac:dyDescent="0.25">
      <c r="F116" s="43" t="s">
        <v>464</v>
      </c>
      <c r="G116" s="151">
        <f>G47-G115-G117</f>
        <v>105684.32</v>
      </c>
      <c r="H116" s="151">
        <f t="shared" ref="H116:K116" si="9">H47-H115-H117</f>
        <v>113098.97250000009</v>
      </c>
      <c r="I116" s="151">
        <f t="shared" si="9"/>
        <v>124320.71349999995</v>
      </c>
      <c r="J116" s="151">
        <f t="shared" si="9"/>
        <v>141209.50709999993</v>
      </c>
      <c r="K116" s="151">
        <f t="shared" si="9"/>
        <v>149051.38</v>
      </c>
    </row>
    <row r="117" spans="6:11" ht="20.25" x14ac:dyDescent="0.25">
      <c r="F117" s="43" t="s">
        <v>121</v>
      </c>
      <c r="G117" s="151">
        <f>G36</f>
        <v>25080</v>
      </c>
      <c r="H117" s="151">
        <f t="shared" ref="H117:K117" si="10">H36</f>
        <v>24029.68</v>
      </c>
      <c r="I117" s="151">
        <f t="shared" si="10"/>
        <v>31769</v>
      </c>
      <c r="J117" s="151">
        <f t="shared" si="10"/>
        <v>30384</v>
      </c>
      <c r="K117" s="151">
        <f t="shared" si="10"/>
        <v>30834</v>
      </c>
    </row>
  </sheetData>
  <mergeCells count="8">
    <mergeCell ref="D35:F35"/>
    <mergeCell ref="D52:F52"/>
    <mergeCell ref="D28:F28"/>
    <mergeCell ref="D29:F29"/>
    <mergeCell ref="D30:F30"/>
    <mergeCell ref="D32:F32"/>
    <mergeCell ref="D33:F33"/>
    <mergeCell ref="D34:F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FF283-F7AD-43EB-805C-C06A10813205}">
  <sheetPr>
    <tabColor rgb="FFFF0000"/>
  </sheetPr>
  <dimension ref="A1:M87"/>
  <sheetViews>
    <sheetView topLeftCell="A57" workbookViewId="0">
      <selection activeCell="F95" sqref="F95"/>
    </sheetView>
  </sheetViews>
  <sheetFormatPr defaultRowHeight="14.25" x14ac:dyDescent="0.2"/>
  <cols>
    <col min="1" max="1" width="2.875" style="34" customWidth="1"/>
    <col min="2" max="2" width="8.125" style="34" customWidth="1"/>
    <col min="3" max="3" width="8.75" style="34" customWidth="1"/>
    <col min="4" max="4" width="5.75" style="34" customWidth="1"/>
    <col min="5" max="5" width="2.875" style="34" customWidth="1"/>
    <col min="6" max="6" width="47.125" style="34" customWidth="1"/>
    <col min="7" max="7" width="22.375" customWidth="1"/>
    <col min="8" max="8" width="1.75" customWidth="1"/>
    <col min="9" max="9" width="22.25" customWidth="1"/>
    <col min="10" max="10" width="10" bestFit="1" customWidth="1"/>
    <col min="11" max="11" width="9" style="213"/>
    <col min="12" max="12" width="11.5" style="124" bestFit="1" customWidth="1"/>
    <col min="13" max="13" width="9" style="213"/>
    <col min="246" max="246" width="2.875" customWidth="1"/>
    <col min="247" max="247" width="8.125" customWidth="1"/>
    <col min="248" max="248" width="8.75" customWidth="1"/>
    <col min="249" max="249" width="11" customWidth="1"/>
    <col min="250" max="250" width="2.875" customWidth="1"/>
    <col min="251" max="251" width="77.625" customWidth="1"/>
    <col min="252" max="252" width="20.875" customWidth="1"/>
    <col min="502" max="502" width="2.875" customWidth="1"/>
    <col min="503" max="503" width="8.125" customWidth="1"/>
    <col min="504" max="504" width="8.75" customWidth="1"/>
    <col min="505" max="505" width="11" customWidth="1"/>
    <col min="506" max="506" width="2.875" customWidth="1"/>
    <col min="507" max="507" width="77.625" customWidth="1"/>
    <col min="508" max="508" width="20.875" customWidth="1"/>
    <col min="758" max="758" width="2.875" customWidth="1"/>
    <col min="759" max="759" width="8.125" customWidth="1"/>
    <col min="760" max="760" width="8.75" customWidth="1"/>
    <col min="761" max="761" width="11" customWidth="1"/>
    <col min="762" max="762" width="2.875" customWidth="1"/>
    <col min="763" max="763" width="77.625" customWidth="1"/>
    <col min="764" max="764" width="20.875" customWidth="1"/>
    <col min="1014" max="1014" width="2.875" customWidth="1"/>
    <col min="1015" max="1015" width="8.125" customWidth="1"/>
    <col min="1016" max="1016" width="8.75" customWidth="1"/>
    <col min="1017" max="1017" width="11" customWidth="1"/>
    <col min="1018" max="1018" width="2.875" customWidth="1"/>
    <col min="1019" max="1019" width="77.625" customWidth="1"/>
    <col min="1020" max="1020" width="20.875" customWidth="1"/>
    <col min="1270" max="1270" width="2.875" customWidth="1"/>
    <col min="1271" max="1271" width="8.125" customWidth="1"/>
    <col min="1272" max="1272" width="8.75" customWidth="1"/>
    <col min="1273" max="1273" width="11" customWidth="1"/>
    <col min="1274" max="1274" width="2.875" customWidth="1"/>
    <col min="1275" max="1275" width="77.625" customWidth="1"/>
    <col min="1276" max="1276" width="20.875" customWidth="1"/>
    <col min="1526" max="1526" width="2.875" customWidth="1"/>
    <col min="1527" max="1527" width="8.125" customWidth="1"/>
    <col min="1528" max="1528" width="8.75" customWidth="1"/>
    <col min="1529" max="1529" width="11" customWidth="1"/>
    <col min="1530" max="1530" width="2.875" customWidth="1"/>
    <col min="1531" max="1531" width="77.625" customWidth="1"/>
    <col min="1532" max="1532" width="20.875" customWidth="1"/>
    <col min="1782" max="1782" width="2.875" customWidth="1"/>
    <col min="1783" max="1783" width="8.125" customWidth="1"/>
    <col min="1784" max="1784" width="8.75" customWidth="1"/>
    <col min="1785" max="1785" width="11" customWidth="1"/>
    <col min="1786" max="1786" width="2.875" customWidth="1"/>
    <col min="1787" max="1787" width="77.625" customWidth="1"/>
    <col min="1788" max="1788" width="20.875" customWidth="1"/>
    <col min="2038" max="2038" width="2.875" customWidth="1"/>
    <col min="2039" max="2039" width="8.125" customWidth="1"/>
    <col min="2040" max="2040" width="8.75" customWidth="1"/>
    <col min="2041" max="2041" width="11" customWidth="1"/>
    <col min="2042" max="2042" width="2.875" customWidth="1"/>
    <col min="2043" max="2043" width="77.625" customWidth="1"/>
    <col min="2044" max="2044" width="20.875" customWidth="1"/>
    <col min="2294" max="2294" width="2.875" customWidth="1"/>
    <col min="2295" max="2295" width="8.125" customWidth="1"/>
    <col min="2296" max="2296" width="8.75" customWidth="1"/>
    <col min="2297" max="2297" width="11" customWidth="1"/>
    <col min="2298" max="2298" width="2.875" customWidth="1"/>
    <col min="2299" max="2299" width="77.625" customWidth="1"/>
    <col min="2300" max="2300" width="20.875" customWidth="1"/>
    <col min="2550" max="2550" width="2.875" customWidth="1"/>
    <col min="2551" max="2551" width="8.125" customWidth="1"/>
    <col min="2552" max="2552" width="8.75" customWidth="1"/>
    <col min="2553" max="2553" width="11" customWidth="1"/>
    <col min="2554" max="2554" width="2.875" customWidth="1"/>
    <col min="2555" max="2555" width="77.625" customWidth="1"/>
    <col min="2556" max="2556" width="20.875" customWidth="1"/>
    <col min="2806" max="2806" width="2.875" customWidth="1"/>
    <col min="2807" max="2807" width="8.125" customWidth="1"/>
    <col min="2808" max="2808" width="8.75" customWidth="1"/>
    <col min="2809" max="2809" width="11" customWidth="1"/>
    <col min="2810" max="2810" width="2.875" customWidth="1"/>
    <col min="2811" max="2811" width="77.625" customWidth="1"/>
    <col min="2812" max="2812" width="20.875" customWidth="1"/>
    <col min="3062" max="3062" width="2.875" customWidth="1"/>
    <col min="3063" max="3063" width="8.125" customWidth="1"/>
    <col min="3064" max="3064" width="8.75" customWidth="1"/>
    <col min="3065" max="3065" width="11" customWidth="1"/>
    <col min="3066" max="3066" width="2.875" customWidth="1"/>
    <col min="3067" max="3067" width="77.625" customWidth="1"/>
    <col min="3068" max="3068" width="20.875" customWidth="1"/>
    <col min="3318" max="3318" width="2.875" customWidth="1"/>
    <col min="3319" max="3319" width="8.125" customWidth="1"/>
    <col min="3320" max="3320" width="8.75" customWidth="1"/>
    <col min="3321" max="3321" width="11" customWidth="1"/>
    <col min="3322" max="3322" width="2.875" customWidth="1"/>
    <col min="3323" max="3323" width="77.625" customWidth="1"/>
    <col min="3324" max="3324" width="20.875" customWidth="1"/>
    <col min="3574" max="3574" width="2.875" customWidth="1"/>
    <col min="3575" max="3575" width="8.125" customWidth="1"/>
    <col min="3576" max="3576" width="8.75" customWidth="1"/>
    <col min="3577" max="3577" width="11" customWidth="1"/>
    <col min="3578" max="3578" width="2.875" customWidth="1"/>
    <col min="3579" max="3579" width="77.625" customWidth="1"/>
    <col min="3580" max="3580" width="20.875" customWidth="1"/>
    <col min="3830" max="3830" width="2.875" customWidth="1"/>
    <col min="3831" max="3831" width="8.125" customWidth="1"/>
    <col min="3832" max="3832" width="8.75" customWidth="1"/>
    <col min="3833" max="3833" width="11" customWidth="1"/>
    <col min="3834" max="3834" width="2.875" customWidth="1"/>
    <col min="3835" max="3835" width="77.625" customWidth="1"/>
    <col min="3836" max="3836" width="20.875" customWidth="1"/>
    <col min="4086" max="4086" width="2.875" customWidth="1"/>
    <col min="4087" max="4087" width="8.125" customWidth="1"/>
    <col min="4088" max="4088" width="8.75" customWidth="1"/>
    <col min="4089" max="4089" width="11" customWidth="1"/>
    <col min="4090" max="4090" width="2.875" customWidth="1"/>
    <col min="4091" max="4091" width="77.625" customWidth="1"/>
    <col min="4092" max="4092" width="20.875" customWidth="1"/>
    <col min="4342" max="4342" width="2.875" customWidth="1"/>
    <col min="4343" max="4343" width="8.125" customWidth="1"/>
    <col min="4344" max="4344" width="8.75" customWidth="1"/>
    <col min="4345" max="4345" width="11" customWidth="1"/>
    <col min="4346" max="4346" width="2.875" customWidth="1"/>
    <col min="4347" max="4347" width="77.625" customWidth="1"/>
    <col min="4348" max="4348" width="20.875" customWidth="1"/>
    <col min="4598" max="4598" width="2.875" customWidth="1"/>
    <col min="4599" max="4599" width="8.125" customWidth="1"/>
    <col min="4600" max="4600" width="8.75" customWidth="1"/>
    <col min="4601" max="4601" width="11" customWidth="1"/>
    <col min="4602" max="4602" width="2.875" customWidth="1"/>
    <col min="4603" max="4603" width="77.625" customWidth="1"/>
    <col min="4604" max="4604" width="20.875" customWidth="1"/>
    <col min="4854" max="4854" width="2.875" customWidth="1"/>
    <col min="4855" max="4855" width="8.125" customWidth="1"/>
    <col min="4856" max="4856" width="8.75" customWidth="1"/>
    <col min="4857" max="4857" width="11" customWidth="1"/>
    <col min="4858" max="4858" width="2.875" customWidth="1"/>
    <col min="4859" max="4859" width="77.625" customWidth="1"/>
    <col min="4860" max="4860" width="20.875" customWidth="1"/>
    <col min="5110" max="5110" width="2.875" customWidth="1"/>
    <col min="5111" max="5111" width="8.125" customWidth="1"/>
    <col min="5112" max="5112" width="8.75" customWidth="1"/>
    <col min="5113" max="5113" width="11" customWidth="1"/>
    <col min="5114" max="5114" width="2.875" customWidth="1"/>
    <col min="5115" max="5115" width="77.625" customWidth="1"/>
    <col min="5116" max="5116" width="20.875" customWidth="1"/>
    <col min="5366" max="5366" width="2.875" customWidth="1"/>
    <col min="5367" max="5367" width="8.125" customWidth="1"/>
    <col min="5368" max="5368" width="8.75" customWidth="1"/>
    <col min="5369" max="5369" width="11" customWidth="1"/>
    <col min="5370" max="5370" width="2.875" customWidth="1"/>
    <col min="5371" max="5371" width="77.625" customWidth="1"/>
    <col min="5372" max="5372" width="20.875" customWidth="1"/>
    <col min="5622" max="5622" width="2.875" customWidth="1"/>
    <col min="5623" max="5623" width="8.125" customWidth="1"/>
    <col min="5624" max="5624" width="8.75" customWidth="1"/>
    <col min="5625" max="5625" width="11" customWidth="1"/>
    <col min="5626" max="5626" width="2.875" customWidth="1"/>
    <col min="5627" max="5627" width="77.625" customWidth="1"/>
    <col min="5628" max="5628" width="20.875" customWidth="1"/>
    <col min="5878" max="5878" width="2.875" customWidth="1"/>
    <col min="5879" max="5879" width="8.125" customWidth="1"/>
    <col min="5880" max="5880" width="8.75" customWidth="1"/>
    <col min="5881" max="5881" width="11" customWidth="1"/>
    <col min="5882" max="5882" width="2.875" customWidth="1"/>
    <col min="5883" max="5883" width="77.625" customWidth="1"/>
    <col min="5884" max="5884" width="20.875" customWidth="1"/>
    <col min="6134" max="6134" width="2.875" customWidth="1"/>
    <col min="6135" max="6135" width="8.125" customWidth="1"/>
    <col min="6136" max="6136" width="8.75" customWidth="1"/>
    <col min="6137" max="6137" width="11" customWidth="1"/>
    <col min="6138" max="6138" width="2.875" customWidth="1"/>
    <col min="6139" max="6139" width="77.625" customWidth="1"/>
    <col min="6140" max="6140" width="20.875" customWidth="1"/>
    <col min="6390" max="6390" width="2.875" customWidth="1"/>
    <col min="6391" max="6391" width="8.125" customWidth="1"/>
    <col min="6392" max="6392" width="8.75" customWidth="1"/>
    <col min="6393" max="6393" width="11" customWidth="1"/>
    <col min="6394" max="6394" width="2.875" customWidth="1"/>
    <col min="6395" max="6395" width="77.625" customWidth="1"/>
    <col min="6396" max="6396" width="20.875" customWidth="1"/>
    <col min="6646" max="6646" width="2.875" customWidth="1"/>
    <col min="6647" max="6647" width="8.125" customWidth="1"/>
    <col min="6648" max="6648" width="8.75" customWidth="1"/>
    <col min="6649" max="6649" width="11" customWidth="1"/>
    <col min="6650" max="6650" width="2.875" customWidth="1"/>
    <col min="6651" max="6651" width="77.625" customWidth="1"/>
    <col min="6652" max="6652" width="20.875" customWidth="1"/>
    <col min="6902" max="6902" width="2.875" customWidth="1"/>
    <col min="6903" max="6903" width="8.125" customWidth="1"/>
    <col min="6904" max="6904" width="8.75" customWidth="1"/>
    <col min="6905" max="6905" width="11" customWidth="1"/>
    <col min="6906" max="6906" width="2.875" customWidth="1"/>
    <col min="6907" max="6907" width="77.625" customWidth="1"/>
    <col min="6908" max="6908" width="20.875" customWidth="1"/>
    <col min="7158" max="7158" width="2.875" customWidth="1"/>
    <col min="7159" max="7159" width="8.125" customWidth="1"/>
    <col min="7160" max="7160" width="8.75" customWidth="1"/>
    <col min="7161" max="7161" width="11" customWidth="1"/>
    <col min="7162" max="7162" width="2.875" customWidth="1"/>
    <col min="7163" max="7163" width="77.625" customWidth="1"/>
    <col min="7164" max="7164" width="20.875" customWidth="1"/>
    <col min="7414" max="7414" width="2.875" customWidth="1"/>
    <col min="7415" max="7415" width="8.125" customWidth="1"/>
    <col min="7416" max="7416" width="8.75" customWidth="1"/>
    <col min="7417" max="7417" width="11" customWidth="1"/>
    <col min="7418" max="7418" width="2.875" customWidth="1"/>
    <col min="7419" max="7419" width="77.625" customWidth="1"/>
    <col min="7420" max="7420" width="20.875" customWidth="1"/>
    <col min="7670" max="7670" width="2.875" customWidth="1"/>
    <col min="7671" max="7671" width="8.125" customWidth="1"/>
    <col min="7672" max="7672" width="8.75" customWidth="1"/>
    <col min="7673" max="7673" width="11" customWidth="1"/>
    <col min="7674" max="7674" width="2.875" customWidth="1"/>
    <col min="7675" max="7675" width="77.625" customWidth="1"/>
    <col min="7676" max="7676" width="20.875" customWidth="1"/>
    <col min="7926" max="7926" width="2.875" customWidth="1"/>
    <col min="7927" max="7927" width="8.125" customWidth="1"/>
    <col min="7928" max="7928" width="8.75" customWidth="1"/>
    <col min="7929" max="7929" width="11" customWidth="1"/>
    <col min="7930" max="7930" width="2.875" customWidth="1"/>
    <col min="7931" max="7931" width="77.625" customWidth="1"/>
    <col min="7932" max="7932" width="20.875" customWidth="1"/>
    <col min="8182" max="8182" width="2.875" customWidth="1"/>
    <col min="8183" max="8183" width="8.125" customWidth="1"/>
    <col min="8184" max="8184" width="8.75" customWidth="1"/>
    <col min="8185" max="8185" width="11" customWidth="1"/>
    <col min="8186" max="8186" width="2.875" customWidth="1"/>
    <col min="8187" max="8187" width="77.625" customWidth="1"/>
    <col min="8188" max="8188" width="20.875" customWidth="1"/>
    <col min="8438" max="8438" width="2.875" customWidth="1"/>
    <col min="8439" max="8439" width="8.125" customWidth="1"/>
    <col min="8440" max="8440" width="8.75" customWidth="1"/>
    <col min="8441" max="8441" width="11" customWidth="1"/>
    <col min="8442" max="8442" width="2.875" customWidth="1"/>
    <col min="8443" max="8443" width="77.625" customWidth="1"/>
    <col min="8444" max="8444" width="20.875" customWidth="1"/>
    <col min="8694" max="8694" width="2.875" customWidth="1"/>
    <col min="8695" max="8695" width="8.125" customWidth="1"/>
    <col min="8696" max="8696" width="8.75" customWidth="1"/>
    <col min="8697" max="8697" width="11" customWidth="1"/>
    <col min="8698" max="8698" width="2.875" customWidth="1"/>
    <col min="8699" max="8699" width="77.625" customWidth="1"/>
    <col min="8700" max="8700" width="20.875" customWidth="1"/>
    <col min="8950" max="8950" width="2.875" customWidth="1"/>
    <col min="8951" max="8951" width="8.125" customWidth="1"/>
    <col min="8952" max="8952" width="8.75" customWidth="1"/>
    <col min="8953" max="8953" width="11" customWidth="1"/>
    <col min="8954" max="8954" width="2.875" customWidth="1"/>
    <col min="8955" max="8955" width="77.625" customWidth="1"/>
    <col min="8956" max="8956" width="20.875" customWidth="1"/>
    <col min="9206" max="9206" width="2.875" customWidth="1"/>
    <col min="9207" max="9207" width="8.125" customWidth="1"/>
    <col min="9208" max="9208" width="8.75" customWidth="1"/>
    <col min="9209" max="9209" width="11" customWidth="1"/>
    <col min="9210" max="9210" width="2.875" customWidth="1"/>
    <col min="9211" max="9211" width="77.625" customWidth="1"/>
    <col min="9212" max="9212" width="20.875" customWidth="1"/>
    <col min="9462" max="9462" width="2.875" customWidth="1"/>
    <col min="9463" max="9463" width="8.125" customWidth="1"/>
    <col min="9464" max="9464" width="8.75" customWidth="1"/>
    <col min="9465" max="9465" width="11" customWidth="1"/>
    <col min="9466" max="9466" width="2.875" customWidth="1"/>
    <col min="9467" max="9467" width="77.625" customWidth="1"/>
    <col min="9468" max="9468" width="20.875" customWidth="1"/>
    <col min="9718" max="9718" width="2.875" customWidth="1"/>
    <col min="9719" max="9719" width="8.125" customWidth="1"/>
    <col min="9720" max="9720" width="8.75" customWidth="1"/>
    <col min="9721" max="9721" width="11" customWidth="1"/>
    <col min="9722" max="9722" width="2.875" customWidth="1"/>
    <col min="9723" max="9723" width="77.625" customWidth="1"/>
    <col min="9724" max="9724" width="20.875" customWidth="1"/>
    <col min="9974" max="9974" width="2.875" customWidth="1"/>
    <col min="9975" max="9975" width="8.125" customWidth="1"/>
    <col min="9976" max="9976" width="8.75" customWidth="1"/>
    <col min="9977" max="9977" width="11" customWidth="1"/>
    <col min="9978" max="9978" width="2.875" customWidth="1"/>
    <col min="9979" max="9979" width="77.625" customWidth="1"/>
    <col min="9980" max="9980" width="20.875" customWidth="1"/>
    <col min="10230" max="10230" width="2.875" customWidth="1"/>
    <col min="10231" max="10231" width="8.125" customWidth="1"/>
    <col min="10232" max="10232" width="8.75" customWidth="1"/>
    <col min="10233" max="10233" width="11" customWidth="1"/>
    <col min="10234" max="10234" width="2.875" customWidth="1"/>
    <col min="10235" max="10235" width="77.625" customWidth="1"/>
    <col min="10236" max="10236" width="20.875" customWidth="1"/>
    <col min="10486" max="10486" width="2.875" customWidth="1"/>
    <col min="10487" max="10487" width="8.125" customWidth="1"/>
    <col min="10488" max="10488" width="8.75" customWidth="1"/>
    <col min="10489" max="10489" width="11" customWidth="1"/>
    <col min="10490" max="10490" width="2.875" customWidth="1"/>
    <col min="10491" max="10491" width="77.625" customWidth="1"/>
    <col min="10492" max="10492" width="20.875" customWidth="1"/>
    <col min="10742" max="10742" width="2.875" customWidth="1"/>
    <col min="10743" max="10743" width="8.125" customWidth="1"/>
    <col min="10744" max="10744" width="8.75" customWidth="1"/>
    <col min="10745" max="10745" width="11" customWidth="1"/>
    <col min="10746" max="10746" width="2.875" customWidth="1"/>
    <col min="10747" max="10747" width="77.625" customWidth="1"/>
    <col min="10748" max="10748" width="20.875" customWidth="1"/>
    <col min="10998" max="10998" width="2.875" customWidth="1"/>
    <col min="10999" max="10999" width="8.125" customWidth="1"/>
    <col min="11000" max="11000" width="8.75" customWidth="1"/>
    <col min="11001" max="11001" width="11" customWidth="1"/>
    <col min="11002" max="11002" width="2.875" customWidth="1"/>
    <col min="11003" max="11003" width="77.625" customWidth="1"/>
    <col min="11004" max="11004" width="20.875" customWidth="1"/>
    <col min="11254" max="11254" width="2.875" customWidth="1"/>
    <col min="11255" max="11255" width="8.125" customWidth="1"/>
    <col min="11256" max="11256" width="8.75" customWidth="1"/>
    <col min="11257" max="11257" width="11" customWidth="1"/>
    <col min="11258" max="11258" width="2.875" customWidth="1"/>
    <col min="11259" max="11259" width="77.625" customWidth="1"/>
    <col min="11260" max="11260" width="20.875" customWidth="1"/>
    <col min="11510" max="11510" width="2.875" customWidth="1"/>
    <col min="11511" max="11511" width="8.125" customWidth="1"/>
    <col min="11512" max="11512" width="8.75" customWidth="1"/>
    <col min="11513" max="11513" width="11" customWidth="1"/>
    <col min="11514" max="11514" width="2.875" customWidth="1"/>
    <col min="11515" max="11515" width="77.625" customWidth="1"/>
    <col min="11516" max="11516" width="20.875" customWidth="1"/>
    <col min="11766" max="11766" width="2.875" customWidth="1"/>
    <col min="11767" max="11767" width="8.125" customWidth="1"/>
    <col min="11768" max="11768" width="8.75" customWidth="1"/>
    <col min="11769" max="11769" width="11" customWidth="1"/>
    <col min="11770" max="11770" width="2.875" customWidth="1"/>
    <col min="11771" max="11771" width="77.625" customWidth="1"/>
    <col min="11772" max="11772" width="20.875" customWidth="1"/>
    <col min="12022" max="12022" width="2.875" customWidth="1"/>
    <col min="12023" max="12023" width="8.125" customWidth="1"/>
    <col min="12024" max="12024" width="8.75" customWidth="1"/>
    <col min="12025" max="12025" width="11" customWidth="1"/>
    <col min="12026" max="12026" width="2.875" customWidth="1"/>
    <col min="12027" max="12027" width="77.625" customWidth="1"/>
    <col min="12028" max="12028" width="20.875" customWidth="1"/>
    <col min="12278" max="12278" width="2.875" customWidth="1"/>
    <col min="12279" max="12279" width="8.125" customWidth="1"/>
    <col min="12280" max="12280" width="8.75" customWidth="1"/>
    <col min="12281" max="12281" width="11" customWidth="1"/>
    <col min="12282" max="12282" width="2.875" customWidth="1"/>
    <col min="12283" max="12283" width="77.625" customWidth="1"/>
    <col min="12284" max="12284" width="20.875" customWidth="1"/>
    <col min="12534" max="12534" width="2.875" customWidth="1"/>
    <col min="12535" max="12535" width="8.125" customWidth="1"/>
    <col min="12536" max="12536" width="8.75" customWidth="1"/>
    <col min="12537" max="12537" width="11" customWidth="1"/>
    <col min="12538" max="12538" width="2.875" customWidth="1"/>
    <col min="12539" max="12539" width="77.625" customWidth="1"/>
    <col min="12540" max="12540" width="20.875" customWidth="1"/>
    <col min="12790" max="12790" width="2.875" customWidth="1"/>
    <col min="12791" max="12791" width="8.125" customWidth="1"/>
    <col min="12792" max="12792" width="8.75" customWidth="1"/>
    <col min="12793" max="12793" width="11" customWidth="1"/>
    <col min="12794" max="12794" width="2.875" customWidth="1"/>
    <col min="12795" max="12795" width="77.625" customWidth="1"/>
    <col min="12796" max="12796" width="20.875" customWidth="1"/>
    <col min="13046" max="13046" width="2.875" customWidth="1"/>
    <col min="13047" max="13047" width="8.125" customWidth="1"/>
    <col min="13048" max="13048" width="8.75" customWidth="1"/>
    <col min="13049" max="13049" width="11" customWidth="1"/>
    <col min="13050" max="13050" width="2.875" customWidth="1"/>
    <col min="13051" max="13051" width="77.625" customWidth="1"/>
    <col min="13052" max="13052" width="20.875" customWidth="1"/>
    <col min="13302" max="13302" width="2.875" customWidth="1"/>
    <col min="13303" max="13303" width="8.125" customWidth="1"/>
    <col min="13304" max="13304" width="8.75" customWidth="1"/>
    <col min="13305" max="13305" width="11" customWidth="1"/>
    <col min="13306" max="13306" width="2.875" customWidth="1"/>
    <col min="13307" max="13307" width="77.625" customWidth="1"/>
    <col min="13308" max="13308" width="20.875" customWidth="1"/>
    <col min="13558" max="13558" width="2.875" customWidth="1"/>
    <col min="13559" max="13559" width="8.125" customWidth="1"/>
    <col min="13560" max="13560" width="8.75" customWidth="1"/>
    <col min="13561" max="13561" width="11" customWidth="1"/>
    <col min="13562" max="13562" width="2.875" customWidth="1"/>
    <col min="13563" max="13563" width="77.625" customWidth="1"/>
    <col min="13564" max="13564" width="20.875" customWidth="1"/>
    <col min="13814" max="13814" width="2.875" customWidth="1"/>
    <col min="13815" max="13815" width="8.125" customWidth="1"/>
    <col min="13816" max="13816" width="8.75" customWidth="1"/>
    <col min="13817" max="13817" width="11" customWidth="1"/>
    <col min="13818" max="13818" width="2.875" customWidth="1"/>
    <col min="13819" max="13819" width="77.625" customWidth="1"/>
    <col min="13820" max="13820" width="20.875" customWidth="1"/>
    <col min="14070" max="14070" width="2.875" customWidth="1"/>
    <col min="14071" max="14071" width="8.125" customWidth="1"/>
    <col min="14072" max="14072" width="8.75" customWidth="1"/>
    <col min="14073" max="14073" width="11" customWidth="1"/>
    <col min="14074" max="14074" width="2.875" customWidth="1"/>
    <col min="14075" max="14075" width="77.625" customWidth="1"/>
    <col min="14076" max="14076" width="20.875" customWidth="1"/>
    <col min="14326" max="14326" width="2.875" customWidth="1"/>
    <col min="14327" max="14327" width="8.125" customWidth="1"/>
    <col min="14328" max="14328" width="8.75" customWidth="1"/>
    <col min="14329" max="14329" width="11" customWidth="1"/>
    <col min="14330" max="14330" width="2.875" customWidth="1"/>
    <col min="14331" max="14331" width="77.625" customWidth="1"/>
    <col min="14332" max="14332" width="20.875" customWidth="1"/>
    <col min="14582" max="14582" width="2.875" customWidth="1"/>
    <col min="14583" max="14583" width="8.125" customWidth="1"/>
    <col min="14584" max="14584" width="8.75" customWidth="1"/>
    <col min="14585" max="14585" width="11" customWidth="1"/>
    <col min="14586" max="14586" width="2.875" customWidth="1"/>
    <col min="14587" max="14587" width="77.625" customWidth="1"/>
    <col min="14588" max="14588" width="20.875" customWidth="1"/>
    <col min="14838" max="14838" width="2.875" customWidth="1"/>
    <col min="14839" max="14839" width="8.125" customWidth="1"/>
    <col min="14840" max="14840" width="8.75" customWidth="1"/>
    <col min="14841" max="14841" width="11" customWidth="1"/>
    <col min="14842" max="14842" width="2.875" customWidth="1"/>
    <col min="14843" max="14843" width="77.625" customWidth="1"/>
    <col min="14844" max="14844" width="20.875" customWidth="1"/>
    <col min="15094" max="15094" width="2.875" customWidth="1"/>
    <col min="15095" max="15095" width="8.125" customWidth="1"/>
    <col min="15096" max="15096" width="8.75" customWidth="1"/>
    <col min="15097" max="15097" width="11" customWidth="1"/>
    <col min="15098" max="15098" width="2.875" customWidth="1"/>
    <col min="15099" max="15099" width="77.625" customWidth="1"/>
    <col min="15100" max="15100" width="20.875" customWidth="1"/>
    <col min="15350" max="15350" width="2.875" customWidth="1"/>
    <col min="15351" max="15351" width="8.125" customWidth="1"/>
    <col min="15352" max="15352" width="8.75" customWidth="1"/>
    <col min="15353" max="15353" width="11" customWidth="1"/>
    <col min="15354" max="15354" width="2.875" customWidth="1"/>
    <col min="15355" max="15355" width="77.625" customWidth="1"/>
    <col min="15356" max="15356" width="20.875" customWidth="1"/>
    <col min="15606" max="15606" width="2.875" customWidth="1"/>
    <col min="15607" max="15607" width="8.125" customWidth="1"/>
    <col min="15608" max="15608" width="8.75" customWidth="1"/>
    <col min="15609" max="15609" width="11" customWidth="1"/>
    <col min="15610" max="15610" width="2.875" customWidth="1"/>
    <col min="15611" max="15611" width="77.625" customWidth="1"/>
    <col min="15612" max="15612" width="20.875" customWidth="1"/>
    <col min="15862" max="15862" width="2.875" customWidth="1"/>
    <col min="15863" max="15863" width="8.125" customWidth="1"/>
    <col min="15864" max="15864" width="8.75" customWidth="1"/>
    <col min="15865" max="15865" width="11" customWidth="1"/>
    <col min="15866" max="15866" width="2.875" customWidth="1"/>
    <col min="15867" max="15867" width="77.625" customWidth="1"/>
    <col min="15868" max="15868" width="20.875" customWidth="1"/>
    <col min="16118" max="16118" width="2.875" customWidth="1"/>
    <col min="16119" max="16119" width="8.125" customWidth="1"/>
    <col min="16120" max="16120" width="8.75" customWidth="1"/>
    <col min="16121" max="16121" width="11" customWidth="1"/>
    <col min="16122" max="16122" width="2.875" customWidth="1"/>
    <col min="16123" max="16123" width="77.625" customWidth="1"/>
    <col min="16124" max="16124" width="20.875" customWidth="1"/>
  </cols>
  <sheetData>
    <row r="1" spans="1:9" ht="22.5" customHeight="1" x14ac:dyDescent="0.4">
      <c r="A1" s="35" t="s">
        <v>90</v>
      </c>
      <c r="B1" s="36"/>
      <c r="C1" s="37"/>
      <c r="D1" s="37"/>
      <c r="E1" s="37"/>
      <c r="F1" s="36"/>
      <c r="G1" s="36"/>
      <c r="H1" s="36"/>
      <c r="I1" s="36"/>
    </row>
    <row r="2" spans="1:9" ht="22.5" customHeight="1" x14ac:dyDescent="0.4">
      <c r="A2" s="35" t="s">
        <v>443</v>
      </c>
      <c r="B2" s="36"/>
      <c r="C2" s="37"/>
      <c r="D2" s="37"/>
      <c r="E2" s="37"/>
      <c r="F2" s="36"/>
      <c r="G2" s="36"/>
      <c r="H2" s="36"/>
      <c r="I2" s="36"/>
    </row>
    <row r="3" spans="1:9" ht="22.5" customHeight="1" x14ac:dyDescent="0.4">
      <c r="A3" s="35" t="s">
        <v>555</v>
      </c>
      <c r="B3" s="36"/>
      <c r="C3" s="37"/>
      <c r="D3" s="37"/>
      <c r="E3" s="37"/>
      <c r="F3" s="36"/>
      <c r="G3" s="36"/>
      <c r="H3" s="36"/>
      <c r="I3" s="36"/>
    </row>
    <row r="4" spans="1:9" s="39" customFormat="1" ht="8.25" customHeight="1" x14ac:dyDescent="0.2">
      <c r="A4" s="38"/>
      <c r="B4" s="38"/>
      <c r="C4" s="38"/>
      <c r="D4" s="38"/>
      <c r="E4" s="38"/>
      <c r="F4" s="38"/>
    </row>
    <row r="5" spans="1:9" s="44" customFormat="1" ht="8.25" customHeight="1" thickBot="1" x14ac:dyDescent="0.25">
      <c r="A5" s="43"/>
      <c r="B5" s="43"/>
      <c r="C5" s="43"/>
      <c r="D5" s="43"/>
      <c r="E5" s="43"/>
      <c r="F5" s="43"/>
    </row>
    <row r="6" spans="1:9" s="44" customFormat="1" ht="48" customHeight="1" thickBot="1" x14ac:dyDescent="0.25">
      <c r="A6" s="43"/>
      <c r="B6" s="523" t="s">
        <v>96</v>
      </c>
      <c r="C6" s="523"/>
      <c r="D6" s="523"/>
      <c r="E6" s="523"/>
      <c r="F6" s="523"/>
      <c r="G6" s="524" t="s">
        <v>556</v>
      </c>
      <c r="H6" s="524"/>
      <c r="I6" s="524" t="s">
        <v>557</v>
      </c>
    </row>
    <row r="7" spans="1:9" s="44" customFormat="1" ht="20.25" x14ac:dyDescent="0.2">
      <c r="A7" s="43"/>
      <c r="B7" s="43"/>
      <c r="C7" s="47" t="s">
        <v>97</v>
      </c>
      <c r="D7" s="47"/>
      <c r="E7" s="47"/>
      <c r="F7" s="43"/>
      <c r="G7" s="160">
        <v>787392</v>
      </c>
      <c r="H7" s="160"/>
      <c r="I7" s="160">
        <v>702872</v>
      </c>
    </row>
    <row r="8" spans="1:9" s="44" customFormat="1" ht="20.25" x14ac:dyDescent="0.2">
      <c r="A8" s="43"/>
      <c r="B8" s="43"/>
      <c r="C8" s="47" t="s">
        <v>146</v>
      </c>
      <c r="D8" s="47"/>
      <c r="E8" s="47"/>
      <c r="F8" s="43"/>
      <c r="G8" s="151">
        <v>115000</v>
      </c>
      <c r="H8" s="151"/>
      <c r="I8" s="151">
        <v>127749</v>
      </c>
    </row>
    <row r="9" spans="1:9" s="44" customFormat="1" ht="20.25" x14ac:dyDescent="0.2">
      <c r="A9" s="43"/>
      <c r="B9" s="43"/>
      <c r="C9" s="47" t="s">
        <v>174</v>
      </c>
      <c r="D9" s="47"/>
      <c r="E9" s="47"/>
      <c r="F9" s="43"/>
      <c r="G9" s="151">
        <v>42500</v>
      </c>
      <c r="H9" s="151"/>
      <c r="I9" s="151">
        <v>42000</v>
      </c>
    </row>
    <row r="10" spans="1:9" s="44" customFormat="1" ht="20.25" x14ac:dyDescent="0.2">
      <c r="A10" s="43"/>
      <c r="B10" s="43"/>
      <c r="C10" s="47" t="s">
        <v>98</v>
      </c>
      <c r="D10" s="47"/>
      <c r="E10" s="47"/>
      <c r="F10" s="43"/>
      <c r="G10" s="151">
        <v>0</v>
      </c>
      <c r="H10" s="151"/>
      <c r="I10" s="151"/>
    </row>
    <row r="11" spans="1:9" s="44" customFormat="1" ht="20.25" x14ac:dyDescent="0.2">
      <c r="A11" s="43"/>
      <c r="B11" s="43"/>
      <c r="D11" s="47" t="s">
        <v>135</v>
      </c>
      <c r="E11" s="47"/>
      <c r="F11" s="43"/>
      <c r="G11" s="151">
        <f>208748+48500-42500</f>
        <v>214748</v>
      </c>
      <c r="H11" s="151"/>
      <c r="I11" s="151">
        <v>212125</v>
      </c>
    </row>
    <row r="12" spans="1:9" s="44" customFormat="1" ht="20.25" x14ac:dyDescent="0.2">
      <c r="A12" s="43"/>
      <c r="B12" s="43"/>
      <c r="D12" s="47" t="s">
        <v>154</v>
      </c>
      <c r="E12" s="47"/>
      <c r="F12" s="43"/>
      <c r="G12" s="151">
        <v>18000</v>
      </c>
      <c r="H12" s="151"/>
      <c r="I12" s="151">
        <v>18000</v>
      </c>
    </row>
    <row r="13" spans="1:9" s="44" customFormat="1" ht="20.25" x14ac:dyDescent="0.2">
      <c r="A13" s="43"/>
      <c r="B13" s="43"/>
      <c r="C13" s="47"/>
      <c r="D13" s="47" t="s">
        <v>383</v>
      </c>
      <c r="E13" s="47"/>
      <c r="F13" s="43"/>
      <c r="G13" s="151">
        <v>0</v>
      </c>
      <c r="H13" s="151"/>
      <c r="I13" s="151"/>
    </row>
    <row r="14" spans="1:9" s="44" customFormat="1" ht="20.25" x14ac:dyDescent="0.2">
      <c r="A14" s="43"/>
      <c r="B14" s="43"/>
      <c r="C14" s="47" t="s">
        <v>359</v>
      </c>
      <c r="D14" s="47"/>
      <c r="E14" s="47"/>
      <c r="F14" s="43"/>
      <c r="G14" s="151">
        <v>20000</v>
      </c>
      <c r="H14" s="151"/>
      <c r="I14" s="151">
        <v>22000</v>
      </c>
    </row>
    <row r="15" spans="1:9" s="44" customFormat="1" ht="20.25" x14ac:dyDescent="0.2">
      <c r="A15" s="43"/>
      <c r="B15" s="43"/>
      <c r="C15" s="47" t="s">
        <v>558</v>
      </c>
      <c r="D15" s="47"/>
      <c r="E15" s="47"/>
      <c r="F15" s="43"/>
      <c r="G15" s="151">
        <v>10000</v>
      </c>
      <c r="H15" s="151"/>
      <c r="I15" s="151">
        <f>29063</f>
        <v>29063</v>
      </c>
    </row>
    <row r="16" spans="1:9" s="44" customFormat="1" ht="20.25" x14ac:dyDescent="0.2">
      <c r="A16" s="43"/>
      <c r="B16" s="43"/>
      <c r="C16" s="47" t="s">
        <v>106</v>
      </c>
      <c r="D16" s="47"/>
      <c r="E16" s="47"/>
      <c r="F16" s="43"/>
      <c r="G16" s="151">
        <v>650</v>
      </c>
      <c r="H16" s="151"/>
      <c r="I16" s="151">
        <v>480</v>
      </c>
    </row>
    <row r="17" spans="2:9" s="44" customFormat="1" ht="20.25" x14ac:dyDescent="0.2">
      <c r="B17" s="43"/>
      <c r="C17" s="47" t="s">
        <v>230</v>
      </c>
      <c r="D17" s="47"/>
      <c r="E17" s="47"/>
      <c r="F17" s="43"/>
      <c r="G17" s="151">
        <v>1200</v>
      </c>
      <c r="H17" s="151"/>
      <c r="I17" s="151">
        <v>2000</v>
      </c>
    </row>
    <row r="18" spans="2:9" s="44" customFormat="1" ht="20.25" x14ac:dyDescent="0.2">
      <c r="B18" s="43"/>
      <c r="C18" s="47" t="s">
        <v>559</v>
      </c>
      <c r="D18" s="47"/>
      <c r="E18" s="47"/>
      <c r="F18" s="43"/>
      <c r="G18" s="151">
        <v>3000</v>
      </c>
      <c r="H18" s="151"/>
      <c r="I18" s="151">
        <v>5000</v>
      </c>
    </row>
    <row r="19" spans="2:9" s="44" customFormat="1" ht="20.25" x14ac:dyDescent="0.2">
      <c r="B19" s="43"/>
      <c r="C19" s="47" t="s">
        <v>395</v>
      </c>
      <c r="D19" s="47"/>
      <c r="E19" s="47"/>
      <c r="F19" s="43"/>
      <c r="G19" s="151">
        <v>370038</v>
      </c>
      <c r="H19" s="151"/>
      <c r="I19" s="151">
        <f>153800+60000</f>
        <v>213800</v>
      </c>
    </row>
    <row r="20" spans="2:9" s="44" customFormat="1" ht="20.25" x14ac:dyDescent="0.2">
      <c r="B20" s="43"/>
      <c r="C20" s="47" t="s">
        <v>105</v>
      </c>
      <c r="D20" s="481"/>
      <c r="E20" s="481"/>
      <c r="F20" s="481"/>
      <c r="G20" s="151">
        <v>52740</v>
      </c>
      <c r="H20" s="151"/>
      <c r="I20" s="151">
        <v>52740</v>
      </c>
    </row>
    <row r="21" spans="2:9" s="44" customFormat="1" ht="20.25" x14ac:dyDescent="0.2">
      <c r="B21" s="43"/>
      <c r="C21" s="47" t="s">
        <v>398</v>
      </c>
      <c r="D21" s="481"/>
      <c r="E21" s="481"/>
      <c r="F21" s="481"/>
      <c r="G21" s="151">
        <v>17250</v>
      </c>
      <c r="H21" s="151"/>
      <c r="I21" s="151">
        <f>10683+5000+1800</f>
        <v>17483</v>
      </c>
    </row>
    <row r="22" spans="2:9" s="44" customFormat="1" ht="20.25" x14ac:dyDescent="0.2">
      <c r="B22" s="43"/>
      <c r="C22" s="47" t="s">
        <v>98</v>
      </c>
      <c r="D22" s="481"/>
      <c r="E22" s="481"/>
      <c r="F22" s="481"/>
      <c r="G22" s="151">
        <v>21000</v>
      </c>
      <c r="H22" s="151"/>
      <c r="I22" s="151">
        <v>21000</v>
      </c>
    </row>
    <row r="23" spans="2:9" s="44" customFormat="1" ht="20.25" x14ac:dyDescent="0.2">
      <c r="B23" s="43"/>
      <c r="C23" s="47" t="s">
        <v>306</v>
      </c>
      <c r="D23" s="481"/>
      <c r="E23" s="481"/>
      <c r="F23" s="481"/>
      <c r="G23" s="151">
        <v>54000</v>
      </c>
      <c r="H23" s="151"/>
      <c r="I23" s="151">
        <v>52000</v>
      </c>
    </row>
    <row r="24" spans="2:9" s="44" customFormat="1" ht="20.25" x14ac:dyDescent="0.2">
      <c r="B24" s="43"/>
      <c r="C24" s="47" t="s">
        <v>308</v>
      </c>
      <c r="D24" s="481"/>
      <c r="E24" s="481"/>
      <c r="F24" s="481"/>
      <c r="G24" s="151">
        <v>18537</v>
      </c>
      <c r="H24" s="151"/>
      <c r="I24" s="151">
        <f>7034+1500+2000</f>
        <v>10534</v>
      </c>
    </row>
    <row r="25" spans="2:9" s="44" customFormat="1" ht="20.25" x14ac:dyDescent="0.2">
      <c r="B25" s="43"/>
      <c r="C25" s="47"/>
      <c r="D25" s="43" t="s">
        <v>101</v>
      </c>
      <c r="E25" s="47"/>
      <c r="F25" s="43"/>
      <c r="G25" s="159">
        <f>SUM(G7:G24)</f>
        <v>1746055</v>
      </c>
      <c r="H25" s="159"/>
      <c r="I25" s="159">
        <f>SUM(I7:I24)</f>
        <v>1528846</v>
      </c>
    </row>
    <row r="26" spans="2:9" s="44" customFormat="1" ht="21" thickBot="1" x14ac:dyDescent="0.25">
      <c r="B26" s="43"/>
      <c r="C26" s="47"/>
      <c r="D26" s="43"/>
      <c r="E26" s="47"/>
      <c r="F26" s="43"/>
      <c r="G26" s="151"/>
      <c r="H26" s="151"/>
      <c r="I26" s="151"/>
    </row>
    <row r="27" spans="2:9" s="44" customFormat="1" ht="54.75" thickBot="1" x14ac:dyDescent="0.25">
      <c r="B27" s="523" t="s">
        <v>107</v>
      </c>
      <c r="C27" s="523"/>
      <c r="D27" s="523"/>
      <c r="E27" s="523"/>
      <c r="F27" s="523"/>
      <c r="G27" s="524" t="s">
        <v>556</v>
      </c>
      <c r="H27" s="524"/>
      <c r="I27" s="524" t="s">
        <v>557</v>
      </c>
    </row>
    <row r="28" spans="2:9" s="44" customFormat="1" ht="20.25" x14ac:dyDescent="0.2">
      <c r="B28" s="43"/>
      <c r="C28" s="47" t="s">
        <v>108</v>
      </c>
      <c r="D28" s="47"/>
      <c r="E28" s="47"/>
      <c r="F28" s="47"/>
      <c r="G28" s="151">
        <v>1094561</v>
      </c>
      <c r="H28" s="151"/>
      <c r="I28" s="151">
        <v>930000</v>
      </c>
    </row>
    <row r="29" spans="2:9" s="44" customFormat="1" ht="20.25" x14ac:dyDescent="0.2">
      <c r="B29" s="43"/>
      <c r="C29" s="47" t="s">
        <v>109</v>
      </c>
      <c r="D29" s="47"/>
      <c r="E29" s="47"/>
      <c r="F29" s="47"/>
      <c r="G29" s="151">
        <v>222612</v>
      </c>
      <c r="H29" s="151"/>
      <c r="I29" s="151">
        <v>182500</v>
      </c>
    </row>
    <row r="30" spans="2:9" s="44" customFormat="1" ht="20.25" x14ac:dyDescent="0.2">
      <c r="B30" s="43"/>
      <c r="C30" s="47" t="s">
        <v>110</v>
      </c>
      <c r="D30" s="47"/>
      <c r="E30" s="47"/>
      <c r="F30" s="47"/>
      <c r="G30" s="151">
        <v>1800</v>
      </c>
      <c r="H30" s="151"/>
      <c r="I30" s="151">
        <v>1800</v>
      </c>
    </row>
    <row r="31" spans="2:9" s="44" customFormat="1" ht="20.25" x14ac:dyDescent="0.2">
      <c r="B31" s="43"/>
      <c r="C31" s="47" t="s">
        <v>100</v>
      </c>
      <c r="D31" s="47"/>
      <c r="E31" s="47"/>
      <c r="F31" s="47"/>
      <c r="G31" s="151">
        <v>52740</v>
      </c>
      <c r="H31" s="151"/>
      <c r="I31" s="151">
        <v>52740</v>
      </c>
    </row>
    <row r="32" spans="2:9" s="44" customFormat="1" ht="20.25" x14ac:dyDescent="0.2">
      <c r="B32" s="43"/>
      <c r="C32" s="47" t="s">
        <v>111</v>
      </c>
      <c r="D32" s="47"/>
      <c r="E32" s="47"/>
      <c r="F32" s="47"/>
      <c r="G32" s="151">
        <v>22993</v>
      </c>
      <c r="H32" s="151"/>
      <c r="I32" s="151">
        <v>19478</v>
      </c>
    </row>
    <row r="33" spans="2:9" s="44" customFormat="1" ht="20.25" x14ac:dyDescent="0.2">
      <c r="B33" s="43"/>
      <c r="C33" s="47" t="s">
        <v>112</v>
      </c>
      <c r="D33" s="47"/>
      <c r="E33" s="47"/>
      <c r="F33" s="47"/>
      <c r="G33" s="151">
        <v>2820</v>
      </c>
      <c r="H33" s="151"/>
      <c r="I33" s="151">
        <v>3395</v>
      </c>
    </row>
    <row r="34" spans="2:9" s="44" customFormat="1" ht="20.25" x14ac:dyDescent="0.2">
      <c r="B34" s="43"/>
      <c r="C34" s="47" t="s">
        <v>113</v>
      </c>
      <c r="D34" s="47"/>
      <c r="E34" s="47"/>
      <c r="F34" s="47"/>
      <c r="G34" s="151">
        <v>5127</v>
      </c>
      <c r="H34" s="151"/>
      <c r="I34" s="151">
        <v>5398</v>
      </c>
    </row>
    <row r="35" spans="2:9" s="44" customFormat="1" ht="20.25" x14ac:dyDescent="0.2">
      <c r="B35" s="43"/>
      <c r="C35" s="47" t="s">
        <v>114</v>
      </c>
      <c r="D35" s="47"/>
      <c r="E35" s="47"/>
      <c r="F35" s="47"/>
      <c r="G35" s="151">
        <v>5612</v>
      </c>
      <c r="H35" s="151"/>
      <c r="I35" s="151">
        <v>8340</v>
      </c>
    </row>
    <row r="36" spans="2:9" s="44" customFormat="1" ht="20.25" x14ac:dyDescent="0.2">
      <c r="B36" s="43"/>
      <c r="C36" s="47" t="s">
        <v>115</v>
      </c>
      <c r="D36" s="47"/>
      <c r="E36" s="47"/>
      <c r="F36" s="47"/>
      <c r="G36" s="151">
        <v>42000</v>
      </c>
      <c r="H36" s="151"/>
      <c r="I36" s="151">
        <v>49000</v>
      </c>
    </row>
    <row r="37" spans="2:9" s="44" customFormat="1" ht="20.25" x14ac:dyDescent="0.2">
      <c r="B37" s="43"/>
      <c r="C37" s="47" t="s">
        <v>116</v>
      </c>
      <c r="D37" s="47"/>
      <c r="E37" s="47"/>
      <c r="F37" s="47"/>
      <c r="G37" s="151">
        <v>4960</v>
      </c>
      <c r="H37" s="151"/>
      <c r="I37" s="151">
        <v>5600</v>
      </c>
    </row>
    <row r="38" spans="2:9" s="44" customFormat="1" ht="20.25" x14ac:dyDescent="0.2">
      <c r="B38" s="43"/>
      <c r="C38" s="47" t="s">
        <v>117</v>
      </c>
      <c r="D38" s="47"/>
      <c r="E38" s="47"/>
      <c r="F38" s="47"/>
      <c r="G38" s="151">
        <v>1501</v>
      </c>
      <c r="H38" s="151"/>
      <c r="I38" s="151">
        <v>1450</v>
      </c>
    </row>
    <row r="39" spans="2:9" s="44" customFormat="1" ht="20.25" x14ac:dyDescent="0.2">
      <c r="B39" s="43"/>
      <c r="C39" s="47" t="s">
        <v>161</v>
      </c>
      <c r="D39" s="47"/>
      <c r="E39" s="47"/>
      <c r="F39" s="47"/>
      <c r="G39" s="151">
        <v>23000</v>
      </c>
      <c r="H39" s="151"/>
      <c r="I39" s="151">
        <v>12175</v>
      </c>
    </row>
    <row r="40" spans="2:9" s="44" customFormat="1" ht="20.25" x14ac:dyDescent="0.2">
      <c r="B40" s="43"/>
      <c r="C40" s="792" t="s">
        <v>311</v>
      </c>
      <c r="D40" s="792"/>
      <c r="E40" s="792"/>
      <c r="F40" s="792"/>
      <c r="G40" s="151">
        <v>0</v>
      </c>
      <c r="H40" s="151"/>
      <c r="I40" s="151">
        <v>410</v>
      </c>
    </row>
    <row r="41" spans="2:9" s="44" customFormat="1" ht="20.25" x14ac:dyDescent="0.2">
      <c r="B41" s="43"/>
      <c r="C41" s="47" t="s">
        <v>118</v>
      </c>
      <c r="D41" s="47"/>
      <c r="E41" s="47"/>
      <c r="F41" s="47"/>
      <c r="G41" s="151">
        <v>29350</v>
      </c>
      <c r="H41" s="151"/>
      <c r="I41" s="151">
        <f>24841+42+42</f>
        <v>24925</v>
      </c>
    </row>
    <row r="42" spans="2:9" s="44" customFormat="1" ht="20.25" x14ac:dyDescent="0.2">
      <c r="B42" s="43"/>
      <c r="C42" s="47" t="s">
        <v>119</v>
      </c>
      <c r="D42" s="47"/>
      <c r="E42" s="47"/>
      <c r="F42" s="47"/>
      <c r="G42" s="151">
        <v>25000</v>
      </c>
      <c r="H42" s="151"/>
      <c r="I42" s="151">
        <v>25700</v>
      </c>
    </row>
    <row r="43" spans="2:9" s="44" customFormat="1" ht="20.25" x14ac:dyDescent="0.2">
      <c r="B43" s="43"/>
      <c r="C43" s="47" t="s">
        <v>126</v>
      </c>
      <c r="D43" s="47"/>
      <c r="E43" s="47"/>
      <c r="F43" s="47"/>
      <c r="G43" s="151">
        <v>700</v>
      </c>
      <c r="H43" s="151"/>
      <c r="I43" s="151">
        <v>303</v>
      </c>
    </row>
    <row r="44" spans="2:9" s="44" customFormat="1" ht="20.25" x14ac:dyDescent="0.2">
      <c r="B44" s="43"/>
      <c r="C44" s="47" t="s">
        <v>120</v>
      </c>
      <c r="D44" s="47"/>
      <c r="E44" s="47"/>
      <c r="F44" s="47"/>
      <c r="G44" s="151">
        <f>2000+3500</f>
        <v>5500</v>
      </c>
      <c r="H44" s="151"/>
      <c r="I44" s="151">
        <f>3012.83+6264</f>
        <v>9276.83</v>
      </c>
    </row>
    <row r="45" spans="2:9" s="44" customFormat="1" ht="20.25" customHeight="1" x14ac:dyDescent="0.2">
      <c r="B45" s="43"/>
      <c r="C45" s="47" t="s">
        <v>193</v>
      </c>
      <c r="D45" s="47"/>
      <c r="E45" s="47"/>
      <c r="F45" s="47"/>
      <c r="G45" s="151">
        <v>8543</v>
      </c>
      <c r="H45" s="151"/>
      <c r="I45" s="151">
        <v>6326</v>
      </c>
    </row>
    <row r="46" spans="2:9" s="44" customFormat="1" ht="20.25" x14ac:dyDescent="0.2">
      <c r="B46" s="47"/>
      <c r="C46" s="47" t="s">
        <v>122</v>
      </c>
      <c r="D46" s="47"/>
      <c r="E46" s="47"/>
      <c r="F46" s="47"/>
      <c r="G46" s="151">
        <v>58875</v>
      </c>
      <c r="H46" s="151"/>
      <c r="I46" s="151">
        <v>25015</v>
      </c>
    </row>
    <row r="47" spans="2:9" s="44" customFormat="1" ht="20.25" x14ac:dyDescent="0.2">
      <c r="B47" s="43"/>
      <c r="C47" s="47" t="s">
        <v>160</v>
      </c>
      <c r="D47" s="47"/>
      <c r="E47" s="47"/>
      <c r="F47" s="47"/>
      <c r="G47" s="151">
        <v>60600</v>
      </c>
      <c r="H47" s="151"/>
      <c r="I47" s="151">
        <v>62119</v>
      </c>
    </row>
    <row r="48" spans="2:9" s="44" customFormat="1" ht="20.25" x14ac:dyDescent="0.2">
      <c r="B48" s="43"/>
      <c r="C48" s="47" t="s">
        <v>123</v>
      </c>
      <c r="D48" s="47"/>
      <c r="E48" s="47"/>
      <c r="F48" s="47"/>
      <c r="G48" s="153">
        <f>9000+35702</f>
        <v>44702</v>
      </c>
      <c r="H48" s="151"/>
      <c r="I48" s="153">
        <f>15559+52280</f>
        <v>67839</v>
      </c>
    </row>
    <row r="49" spans="2:9" s="44" customFormat="1" ht="20.25" x14ac:dyDescent="0.2">
      <c r="B49" s="47"/>
      <c r="D49" s="43" t="s">
        <v>124</v>
      </c>
      <c r="G49" s="151">
        <f>SUM(G28:G48)</f>
        <v>1712996</v>
      </c>
      <c r="H49" s="151"/>
      <c r="I49" s="151">
        <f>SUM(I28:I48)</f>
        <v>1493789.83</v>
      </c>
    </row>
    <row r="50" spans="2:9" s="44" customFormat="1" ht="8.25" customHeight="1" x14ac:dyDescent="0.2">
      <c r="B50" s="47"/>
      <c r="C50" s="43"/>
      <c r="D50" s="43"/>
      <c r="G50" s="151"/>
      <c r="H50" s="151"/>
      <c r="I50" s="151"/>
    </row>
    <row r="51" spans="2:9" s="44" customFormat="1" ht="20.25" x14ac:dyDescent="0.2">
      <c r="B51" s="47"/>
      <c r="C51" s="525" t="s">
        <v>399</v>
      </c>
      <c r="D51"/>
      <c r="E51" s="43"/>
      <c r="F51" s="43"/>
      <c r="G51" s="159">
        <f>G25-G49</f>
        <v>33059</v>
      </c>
      <c r="H51" s="151"/>
      <c r="I51" s="159">
        <f>I25-I49</f>
        <v>35056.169999999925</v>
      </c>
    </row>
    <row r="52" spans="2:9" s="44" customFormat="1" ht="9" customHeight="1" x14ac:dyDescent="0.2">
      <c r="B52" s="47"/>
      <c r="C52" s="47"/>
      <c r="D52" s="47"/>
      <c r="E52" s="47"/>
      <c r="F52" s="47"/>
      <c r="G52" s="151"/>
      <c r="H52" s="151"/>
      <c r="I52" s="151"/>
    </row>
    <row r="53" spans="2:9" s="44" customFormat="1" ht="23.25" customHeight="1" x14ac:dyDescent="0.2">
      <c r="B53" s="47"/>
      <c r="C53" s="47" t="s">
        <v>437</v>
      </c>
      <c r="D53" s="47"/>
      <c r="F53" s="47"/>
      <c r="G53" s="151">
        <v>24021</v>
      </c>
      <c r="H53" s="151"/>
      <c r="I53" s="151">
        <v>35278</v>
      </c>
    </row>
    <row r="54" spans="2:9" s="44" customFormat="1" ht="20.25" x14ac:dyDescent="0.2">
      <c r="B54" s="47"/>
      <c r="C54" s="47" t="s">
        <v>30</v>
      </c>
      <c r="D54" s="47"/>
      <c r="F54" s="47"/>
      <c r="G54" s="151">
        <v>5933</v>
      </c>
      <c r="H54" s="151"/>
      <c r="I54" s="151">
        <v>5330</v>
      </c>
    </row>
    <row r="55" spans="2:9" s="44" customFormat="1" ht="9" customHeight="1" thickBot="1" x14ac:dyDescent="0.25">
      <c r="B55" s="47"/>
      <c r="C55" s="47"/>
      <c r="D55" s="47"/>
      <c r="E55" s="47"/>
      <c r="F55" s="47"/>
      <c r="G55" s="151"/>
      <c r="H55" s="151"/>
      <c r="I55" s="151"/>
    </row>
    <row r="56" spans="2:9" s="44" customFormat="1" ht="21.75" thickTop="1" thickBot="1" x14ac:dyDescent="0.25">
      <c r="B56" s="43"/>
      <c r="C56" s="526" t="s">
        <v>400</v>
      </c>
      <c r="D56" s="527"/>
      <c r="E56" s="527"/>
      <c r="F56" s="527"/>
      <c r="G56" s="528">
        <f>G51-G54-G53</f>
        <v>3105</v>
      </c>
      <c r="H56" s="528"/>
      <c r="I56" s="528">
        <f>I51-I54-I53</f>
        <v>-5551.8300000000745</v>
      </c>
    </row>
    <row r="57" spans="2:9" s="44" customFormat="1" ht="21" thickTop="1" x14ac:dyDescent="0.2">
      <c r="B57" s="43"/>
      <c r="C57" s="43"/>
      <c r="D57" s="43"/>
      <c r="E57" s="43"/>
      <c r="F57" s="43"/>
      <c r="G57" s="154"/>
      <c r="H57" s="154"/>
    </row>
    <row r="58" spans="2:9" ht="20.25" x14ac:dyDescent="0.3">
      <c r="B58" s="529" t="s">
        <v>560</v>
      </c>
      <c r="C58" s="530"/>
      <c r="F58" s="496"/>
      <c r="G58" s="184"/>
      <c r="H58" s="184"/>
      <c r="I58" s="530"/>
    </row>
    <row r="59" spans="2:9" ht="9.75" customHeight="1" x14ac:dyDescent="0.3">
      <c r="B59" s="529"/>
      <c r="C59" s="530"/>
      <c r="F59" s="496"/>
      <c r="G59" s="184"/>
      <c r="H59" s="184"/>
      <c r="I59" s="530"/>
    </row>
    <row r="60" spans="2:9" ht="20.25" x14ac:dyDescent="0.3">
      <c r="B60" s="529"/>
      <c r="C60" s="22" t="s">
        <v>448</v>
      </c>
      <c r="F60" s="496"/>
      <c r="G60" s="184"/>
      <c r="H60" s="184"/>
      <c r="I60" s="530"/>
    </row>
    <row r="61" spans="2:9" ht="20.25" x14ac:dyDescent="0.3">
      <c r="B61" s="529"/>
      <c r="C61" s="367" t="s">
        <v>449</v>
      </c>
      <c r="F61" s="496"/>
      <c r="G61" s="184"/>
      <c r="H61" s="184"/>
      <c r="I61" s="530"/>
    </row>
    <row r="62" spans="2:9" ht="33.75" customHeight="1" x14ac:dyDescent="0.3">
      <c r="B62" s="529"/>
      <c r="C62" s="793" t="s">
        <v>499</v>
      </c>
      <c r="D62" s="793"/>
      <c r="E62" s="793"/>
      <c r="F62" s="793"/>
      <c r="G62" s="793"/>
      <c r="H62" s="793"/>
      <c r="I62" s="793"/>
    </row>
    <row r="63" spans="2:9" ht="20.25" x14ac:dyDescent="0.3">
      <c r="B63" s="529"/>
      <c r="C63" s="367" t="s">
        <v>566</v>
      </c>
      <c r="F63" s="496"/>
      <c r="G63" s="184"/>
      <c r="H63" s="184"/>
      <c r="I63" s="530"/>
    </row>
    <row r="64" spans="2:9" ht="20.25" x14ac:dyDescent="0.3">
      <c r="B64" s="529"/>
      <c r="C64">
        <v>1</v>
      </c>
      <c r="D64" s="367" t="s">
        <v>561</v>
      </c>
      <c r="F64" s="496"/>
      <c r="G64" s="184"/>
      <c r="H64" s="184"/>
      <c r="I64" s="530"/>
    </row>
    <row r="65" spans="3:9" ht="20.25" x14ac:dyDescent="0.3">
      <c r="C65" s="367">
        <v>2</v>
      </c>
      <c r="D65" s="367" t="s">
        <v>562</v>
      </c>
      <c r="F65" s="496"/>
      <c r="G65" s="184"/>
      <c r="H65" s="184"/>
      <c r="I65" s="530"/>
    </row>
    <row r="66" spans="3:9" ht="20.25" x14ac:dyDescent="0.3">
      <c r="C66" s="367" t="s">
        <v>563</v>
      </c>
      <c r="D66" s="367"/>
      <c r="F66" s="496"/>
      <c r="G66" s="184"/>
      <c r="H66" s="184"/>
      <c r="I66" s="530"/>
    </row>
    <row r="67" spans="3:9" ht="39.75" customHeight="1" x14ac:dyDescent="0.2">
      <c r="C67" s="793" t="s">
        <v>564</v>
      </c>
      <c r="D67" s="793"/>
      <c r="E67" s="793"/>
      <c r="F67" s="793"/>
      <c r="G67" s="793"/>
      <c r="H67" s="793"/>
      <c r="I67" s="793"/>
    </row>
    <row r="68" spans="3:9" ht="20.25" customHeight="1" x14ac:dyDescent="0.2">
      <c r="C68" s="793" t="s">
        <v>565</v>
      </c>
      <c r="D68" s="793"/>
      <c r="E68" s="793"/>
      <c r="F68" s="793"/>
      <c r="G68" s="793"/>
      <c r="H68" s="793"/>
      <c r="I68" s="793"/>
    </row>
    <row r="69" spans="3:9" ht="11.25" customHeight="1" x14ac:dyDescent="0.3">
      <c r="C69" s="367"/>
      <c r="F69" s="496"/>
      <c r="G69" s="184"/>
      <c r="H69" s="184"/>
      <c r="I69" s="530"/>
    </row>
    <row r="70" spans="3:9" ht="20.25" hidden="1" x14ac:dyDescent="0.3">
      <c r="C70" s="531" t="s">
        <v>450</v>
      </c>
      <c r="F70" s="496"/>
      <c r="G70" s="184"/>
      <c r="H70" s="184"/>
      <c r="I70" s="530"/>
    </row>
    <row r="71" spans="3:9" ht="38.25" hidden="1" customHeight="1" x14ac:dyDescent="0.2">
      <c r="C71" s="793" t="s">
        <v>451</v>
      </c>
      <c r="D71" s="793"/>
      <c r="E71" s="793"/>
      <c r="F71" s="793"/>
      <c r="G71" s="793"/>
      <c r="H71" s="793"/>
      <c r="I71" s="793"/>
    </row>
    <row r="72" spans="3:9" ht="37.5" hidden="1" customHeight="1" x14ac:dyDescent="0.2">
      <c r="C72" s="794" t="s">
        <v>494</v>
      </c>
      <c r="D72" s="794"/>
      <c r="E72" s="794"/>
      <c r="F72" s="794"/>
      <c r="G72" s="794"/>
      <c r="H72" s="794"/>
      <c r="I72" s="794"/>
    </row>
    <row r="73" spans="3:9" ht="18" hidden="1" x14ac:dyDescent="0.25">
      <c r="C73" s="367" t="s">
        <v>452</v>
      </c>
      <c r="F73" s="496"/>
      <c r="G73" s="530"/>
      <c r="H73" s="530"/>
      <c r="I73" s="530"/>
    </row>
    <row r="74" spans="3:9" ht="18" hidden="1" x14ac:dyDescent="0.25">
      <c r="C74" s="367" t="s">
        <v>492</v>
      </c>
      <c r="F74" s="496"/>
      <c r="G74" s="530"/>
      <c r="H74" s="530"/>
      <c r="I74" s="530"/>
    </row>
    <row r="75" spans="3:9" ht="29.25" hidden="1" customHeight="1" x14ac:dyDescent="0.2">
      <c r="C75" s="793" t="s">
        <v>493</v>
      </c>
      <c r="D75" s="793"/>
      <c r="E75" s="793"/>
      <c r="F75" s="793"/>
      <c r="G75" s="793"/>
      <c r="H75" s="793"/>
      <c r="I75" s="793"/>
    </row>
    <row r="76" spans="3:9" ht="18" hidden="1" x14ac:dyDescent="0.25">
      <c r="C76" s="185" t="s">
        <v>483</v>
      </c>
      <c r="F76" s="496"/>
      <c r="G76" s="530"/>
      <c r="H76" s="530"/>
      <c r="I76" s="530"/>
    </row>
    <row r="77" spans="3:9" ht="18" hidden="1" x14ac:dyDescent="0.25">
      <c r="C77" s="185">
        <v>1</v>
      </c>
      <c r="D77" s="185" t="s">
        <v>484</v>
      </c>
      <c r="F77" s="496"/>
      <c r="G77" s="530"/>
      <c r="H77" s="530"/>
      <c r="I77" s="530"/>
    </row>
    <row r="78" spans="3:9" ht="18" hidden="1" x14ac:dyDescent="0.25">
      <c r="C78" s="185">
        <v>2</v>
      </c>
      <c r="D78" s="185" t="s">
        <v>490</v>
      </c>
      <c r="F78" s="496"/>
    </row>
    <row r="79" spans="3:9" ht="18" hidden="1" x14ac:dyDescent="0.25">
      <c r="C79" s="185">
        <v>3</v>
      </c>
      <c r="D79" s="185" t="s">
        <v>491</v>
      </c>
      <c r="F79" s="496"/>
    </row>
    <row r="80" spans="3:9" ht="18" hidden="1" x14ac:dyDescent="0.25">
      <c r="C80" s="185">
        <v>4</v>
      </c>
      <c r="D80" s="185" t="s">
        <v>486</v>
      </c>
      <c r="F80" s="496"/>
    </row>
    <row r="81" spans="3:6" ht="18" hidden="1" x14ac:dyDescent="0.25">
      <c r="C81" s="185" t="s">
        <v>485</v>
      </c>
      <c r="D81" s="185"/>
      <c r="F81" s="496"/>
    </row>
    <row r="82" spans="3:6" ht="18" hidden="1" x14ac:dyDescent="0.25">
      <c r="C82" s="185" t="s">
        <v>488</v>
      </c>
      <c r="D82" s="185"/>
      <c r="F82" s="496"/>
    </row>
    <row r="83" spans="3:6" ht="18" hidden="1" x14ac:dyDescent="0.25">
      <c r="C83" s="185">
        <v>1</v>
      </c>
      <c r="D83" s="185" t="s">
        <v>487</v>
      </c>
      <c r="F83" s="74"/>
    </row>
    <row r="84" spans="3:6" ht="18" hidden="1" x14ac:dyDescent="0.25">
      <c r="C84" s="185">
        <v>2</v>
      </c>
      <c r="D84" s="185" t="s">
        <v>489</v>
      </c>
      <c r="F84" s="74"/>
    </row>
    <row r="85" spans="3:6" hidden="1" x14ac:dyDescent="0.2">
      <c r="C85" s="185" t="s">
        <v>485</v>
      </c>
      <c r="D85" s="185"/>
    </row>
    <row r="86" spans="3:6" hidden="1" x14ac:dyDescent="0.2">
      <c r="C86" s="185" t="s">
        <v>501</v>
      </c>
      <c r="D86" s="185"/>
    </row>
    <row r="87" spans="3:6" hidden="1" x14ac:dyDescent="0.2">
      <c r="C87" s="185" t="s">
        <v>502</v>
      </c>
      <c r="D87" s="185"/>
    </row>
  </sheetData>
  <mergeCells count="7">
    <mergeCell ref="C72:I72"/>
    <mergeCell ref="C75:I75"/>
    <mergeCell ref="C40:F40"/>
    <mergeCell ref="C62:I62"/>
    <mergeCell ref="C67:I67"/>
    <mergeCell ref="C68:I68"/>
    <mergeCell ref="C71:I7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K113"/>
  <sheetViews>
    <sheetView zoomScaleNormal="100" workbookViewId="0">
      <selection activeCell="A5" sqref="A5:H5"/>
    </sheetView>
  </sheetViews>
  <sheetFormatPr defaultRowHeight="14.25" x14ac:dyDescent="0.2"/>
  <cols>
    <col min="1" max="1" width="5" customWidth="1"/>
    <col min="2" max="6" width="14.875" customWidth="1"/>
    <col min="7" max="7" width="16.125" customWidth="1"/>
    <col min="8" max="8" width="18.25" customWidth="1"/>
    <col min="9" max="9" width="9.5" bestFit="1" customWidth="1"/>
    <col min="10" max="10" width="9.875" bestFit="1" customWidth="1"/>
    <col min="11" max="11" width="10.5" bestFit="1" customWidth="1"/>
    <col min="12" max="12" width="13.125" bestFit="1" customWidth="1"/>
  </cols>
  <sheetData>
    <row r="1" spans="1:8" ht="23.25" x14ac:dyDescent="0.2">
      <c r="A1" s="824" t="s">
        <v>166</v>
      </c>
      <c r="B1" s="824"/>
      <c r="C1" s="824"/>
      <c r="D1" s="824"/>
      <c r="E1" s="824"/>
      <c r="F1" s="824"/>
      <c r="G1" s="824"/>
      <c r="H1" s="824"/>
    </row>
    <row r="2" spans="1:8" ht="23.25" x14ac:dyDescent="0.2">
      <c r="A2" s="824" t="s">
        <v>167</v>
      </c>
      <c r="B2" s="824"/>
      <c r="C2" s="824"/>
      <c r="D2" s="824"/>
      <c r="E2" s="824"/>
      <c r="F2" s="824"/>
      <c r="G2" s="824"/>
      <c r="H2" s="824"/>
    </row>
    <row r="3" spans="1:8" ht="23.25" x14ac:dyDescent="0.2">
      <c r="A3" s="825">
        <v>45741</v>
      </c>
      <c r="B3" s="825"/>
      <c r="C3" s="825"/>
      <c r="D3" s="825"/>
      <c r="E3" s="825"/>
      <c r="F3" s="825"/>
      <c r="G3" s="825"/>
      <c r="H3" s="825"/>
    </row>
    <row r="4" spans="1:8" ht="21.75" customHeight="1" x14ac:dyDescent="0.2">
      <c r="A4" s="828" t="s">
        <v>177</v>
      </c>
      <c r="B4" s="828"/>
      <c r="C4" s="828"/>
      <c r="D4" s="828"/>
      <c r="E4" s="828"/>
      <c r="F4" s="828"/>
      <c r="G4" s="828"/>
      <c r="H4" s="828"/>
    </row>
    <row r="5" spans="1:8" ht="83.25" customHeight="1" x14ac:dyDescent="0.2">
      <c r="A5" s="797" t="s">
        <v>744</v>
      </c>
      <c r="B5" s="797"/>
      <c r="C5" s="797"/>
      <c r="D5" s="797"/>
      <c r="E5" s="797"/>
      <c r="F5" s="797"/>
      <c r="G5" s="797"/>
      <c r="H5" s="797"/>
    </row>
    <row r="6" spans="1:8" ht="81" customHeight="1" x14ac:dyDescent="0.2">
      <c r="A6" s="321"/>
      <c r="B6" s="321"/>
      <c r="C6" s="321"/>
      <c r="D6" s="321"/>
      <c r="E6" s="321"/>
      <c r="F6" s="321"/>
      <c r="G6" s="321"/>
      <c r="H6" s="321"/>
    </row>
    <row r="7" spans="1:8" ht="81" customHeight="1" x14ac:dyDescent="0.2">
      <c r="A7" s="321"/>
      <c r="B7" s="321"/>
      <c r="C7" s="321"/>
      <c r="D7" s="321"/>
      <c r="E7" s="321"/>
      <c r="F7" s="321"/>
      <c r="G7" s="321"/>
      <c r="H7" s="321"/>
    </row>
    <row r="8" spans="1:8" ht="81" customHeight="1" x14ac:dyDescent="0.2">
      <c r="A8" s="321"/>
      <c r="B8" s="321"/>
      <c r="C8" s="321"/>
      <c r="D8" s="321"/>
      <c r="E8" s="321"/>
      <c r="F8" s="321"/>
      <c r="G8" s="321"/>
      <c r="H8" s="321"/>
    </row>
    <row r="9" spans="1:8" ht="53.25" customHeight="1" x14ac:dyDescent="0.25">
      <c r="A9" s="799" t="s">
        <v>715</v>
      </c>
      <c r="B9" s="799"/>
      <c r="C9" s="799"/>
      <c r="D9" s="799"/>
      <c r="E9" s="799"/>
      <c r="F9" s="799"/>
      <c r="G9" s="799"/>
      <c r="H9" s="799"/>
    </row>
    <row r="10" spans="1:8" ht="15.75" x14ac:dyDescent="0.25">
      <c r="A10" s="299"/>
      <c r="B10" s="827"/>
      <c r="C10" s="827"/>
      <c r="D10" s="290"/>
      <c r="E10" s="296" t="s">
        <v>46</v>
      </c>
      <c r="F10" s="296" t="s">
        <v>341</v>
      </c>
      <c r="G10" s="291"/>
      <c r="H10" s="299"/>
    </row>
    <row r="11" spans="1:8" ht="15.75" customHeight="1" x14ac:dyDescent="0.25">
      <c r="A11" s="299"/>
      <c r="C11" s="826" t="s">
        <v>358</v>
      </c>
      <c r="D11" s="826"/>
      <c r="E11" s="125">
        <f>'February''25 AR Aging'!H35</f>
        <v>77360.09</v>
      </c>
      <c r="F11" s="450">
        <f t="shared" ref="F11:F16" si="0">E11/E$17</f>
        <v>0.22792990798136187</v>
      </c>
      <c r="G11" s="292"/>
      <c r="H11" s="299"/>
    </row>
    <row r="12" spans="1:8" ht="15.75" customHeight="1" x14ac:dyDescent="0.25">
      <c r="A12" s="299"/>
      <c r="C12" s="826" t="s">
        <v>357</v>
      </c>
      <c r="D12" s="826"/>
      <c r="E12" s="213">
        <f>'February''25 AR Aging'!H30</f>
        <v>70554</v>
      </c>
      <c r="F12" s="450">
        <f t="shared" si="0"/>
        <v>0.20787678411073468</v>
      </c>
      <c r="G12" s="292"/>
      <c r="H12" s="299"/>
    </row>
    <row r="13" spans="1:8" ht="15.75" customHeight="1" x14ac:dyDescent="0.25">
      <c r="A13" s="299"/>
      <c r="C13" s="827" t="s">
        <v>41</v>
      </c>
      <c r="D13" s="827"/>
      <c r="E13" s="213">
        <f>'February''25 AR Aging'!H43</f>
        <v>47817.21</v>
      </c>
      <c r="F13" s="450">
        <f t="shared" si="0"/>
        <v>0.14088624089275822</v>
      </c>
      <c r="G13" s="292"/>
      <c r="H13" s="299"/>
    </row>
    <row r="14" spans="1:8" ht="15.75" customHeight="1" x14ac:dyDescent="0.25">
      <c r="A14" s="299"/>
      <c r="C14" s="827" t="s">
        <v>602</v>
      </c>
      <c r="D14" s="827"/>
      <c r="E14" s="213">
        <f>'February''25 AR Aging'!H42</f>
        <v>25000</v>
      </c>
      <c r="F14" s="450">
        <f t="shared" si="0"/>
        <v>7.3658752200702546E-2</v>
      </c>
      <c r="G14" s="292"/>
      <c r="H14" s="299"/>
    </row>
    <row r="15" spans="1:8" ht="15.75" customHeight="1" x14ac:dyDescent="0.25">
      <c r="A15" s="299"/>
      <c r="C15" s="827" t="s">
        <v>411</v>
      </c>
      <c r="D15" s="827"/>
      <c r="E15" s="213">
        <f>'February''25 AR Aging'!H11+'February''25 AR Aging'!H19+'February''25 AR Aging'!H38+'February''25 AR Aging'!H39+'February''25 AR Aging'!H44+'February''25 AR Aging'!H13</f>
        <v>105878.99</v>
      </c>
      <c r="F15" s="450">
        <f t="shared" si="0"/>
        <v>0.31195657150682654</v>
      </c>
      <c r="G15" s="292"/>
      <c r="H15" s="299"/>
    </row>
    <row r="16" spans="1:8" ht="15.75" customHeight="1" x14ac:dyDescent="0.25">
      <c r="A16" s="299"/>
      <c r="C16" s="827" t="s">
        <v>331</v>
      </c>
      <c r="D16" s="827"/>
      <c r="E16" s="213">
        <f>'February''25 AR Aging'!H23+'February''25 AR Aging'!H24+'February''25 AR Aging'!H45+'February''25 AR Aging'!H40+'February''25 AR Aging'!H26+'February''25 AR Aging'!H21</f>
        <v>12792.69</v>
      </c>
      <c r="F16" s="450">
        <f t="shared" si="0"/>
        <v>3.7691743307616217E-2</v>
      </c>
      <c r="G16" s="292"/>
      <c r="H16" s="299"/>
    </row>
    <row r="17" spans="1:10" ht="16.5" customHeight="1" thickBot="1" x14ac:dyDescent="0.3">
      <c r="A17" s="299"/>
      <c r="B17" s="827" t="s">
        <v>609</v>
      </c>
      <c r="C17" s="827"/>
      <c r="D17" s="827"/>
      <c r="E17" s="297">
        <f>SUM(E11:E16)</f>
        <v>339402.98</v>
      </c>
      <c r="F17" s="451">
        <f>SUM(F11:F16)</f>
        <v>1</v>
      </c>
      <c r="G17" s="446"/>
      <c r="J17" s="125"/>
    </row>
    <row r="18" spans="1:10" ht="38.25" customHeight="1" thickTop="1" x14ac:dyDescent="0.2">
      <c r="A18" s="321"/>
      <c r="B18" s="321"/>
      <c r="C18" s="321"/>
      <c r="D18" s="321"/>
      <c r="E18" s="571"/>
      <c r="F18" s="321"/>
      <c r="G18" s="321"/>
      <c r="H18" s="321"/>
    </row>
    <row r="19" spans="1:10" ht="88.5" customHeight="1" x14ac:dyDescent="0.2">
      <c r="A19" s="321"/>
      <c r="B19" s="321"/>
      <c r="C19" s="321"/>
      <c r="D19" s="321"/>
      <c r="E19" s="321"/>
      <c r="F19" s="321"/>
      <c r="G19" s="321"/>
      <c r="H19" s="321"/>
    </row>
    <row r="20" spans="1:10" ht="88.5" customHeight="1" x14ac:dyDescent="0.2">
      <c r="A20" s="321"/>
      <c r="B20" s="321"/>
      <c r="C20" s="321"/>
      <c r="D20" s="321"/>
      <c r="E20" s="321"/>
      <c r="F20" s="321"/>
      <c r="G20" s="321"/>
      <c r="H20" s="321"/>
    </row>
    <row r="21" spans="1:10" ht="88.5" customHeight="1" x14ac:dyDescent="0.2">
      <c r="A21" s="321"/>
      <c r="B21" s="321"/>
      <c r="C21" s="321"/>
      <c r="D21" s="321"/>
      <c r="E21" s="321"/>
      <c r="F21" s="321"/>
      <c r="G21" s="321"/>
      <c r="H21" s="321"/>
      <c r="J21" t="s">
        <v>645</v>
      </c>
    </row>
    <row r="22" spans="1:10" ht="35.25" hidden="1" customHeight="1" x14ac:dyDescent="0.2">
      <c r="A22" s="798" t="s">
        <v>267</v>
      </c>
      <c r="B22" s="798"/>
      <c r="C22" s="798"/>
      <c r="D22" s="798"/>
      <c r="E22" s="798"/>
      <c r="F22" s="798"/>
      <c r="G22" s="798"/>
      <c r="H22" s="798"/>
    </row>
    <row r="23" spans="1:10" ht="15" customHeight="1" x14ac:dyDescent="0.2">
      <c r="A23" s="321"/>
      <c r="B23" s="321"/>
      <c r="C23" s="321"/>
      <c r="D23" s="321"/>
      <c r="E23" s="321"/>
      <c r="F23" s="321"/>
      <c r="G23" s="321"/>
      <c r="H23" s="321"/>
    </row>
    <row r="24" spans="1:10" ht="55.5" customHeight="1" x14ac:dyDescent="0.2">
      <c r="A24" s="798" t="s">
        <v>709</v>
      </c>
      <c r="B24" s="798"/>
      <c r="C24" s="798"/>
      <c r="D24" s="798"/>
      <c r="E24" s="798"/>
      <c r="F24" s="798"/>
      <c r="G24" s="798"/>
      <c r="H24" s="798"/>
    </row>
    <row r="25" spans="1:10" ht="38.25" customHeight="1" x14ac:dyDescent="0.2">
      <c r="A25" s="321"/>
      <c r="B25" s="321"/>
      <c r="C25" s="321"/>
      <c r="D25" s="321"/>
      <c r="E25" s="321"/>
      <c r="F25" s="321"/>
      <c r="G25" s="321"/>
      <c r="H25" s="321"/>
    </row>
    <row r="26" spans="1:10" ht="38.25" customHeight="1" x14ac:dyDescent="0.2">
      <c r="A26" s="321"/>
      <c r="B26" s="321"/>
      <c r="C26" s="321"/>
      <c r="D26" s="321"/>
      <c r="E26" s="321"/>
      <c r="F26" s="321"/>
      <c r="G26" s="321"/>
      <c r="H26" s="321"/>
      <c r="J26" s="460"/>
    </row>
    <row r="27" spans="1:10" ht="38.25" customHeight="1" x14ac:dyDescent="0.2">
      <c r="A27" s="321"/>
      <c r="B27" s="321"/>
      <c r="C27" s="321"/>
      <c r="D27" s="321"/>
      <c r="E27" s="321"/>
      <c r="F27" s="321"/>
      <c r="G27" s="321"/>
      <c r="H27" s="321"/>
      <c r="J27" s="460"/>
    </row>
    <row r="28" spans="1:10" ht="38.25" customHeight="1" x14ac:dyDescent="0.2">
      <c r="A28" s="321"/>
      <c r="B28" s="321"/>
      <c r="C28" s="321"/>
      <c r="D28" s="321"/>
      <c r="E28" s="321"/>
      <c r="F28" s="321"/>
      <c r="G28" s="321"/>
      <c r="H28" s="321"/>
    </row>
    <row r="29" spans="1:10" ht="38.25" customHeight="1" x14ac:dyDescent="0.2">
      <c r="A29" s="321"/>
      <c r="B29" s="321"/>
      <c r="C29" s="321"/>
      <c r="D29" s="321"/>
      <c r="E29" s="321"/>
      <c r="F29" s="321"/>
      <c r="G29" s="321"/>
      <c r="H29" s="321"/>
      <c r="J29" s="470"/>
    </row>
    <row r="30" spans="1:10" ht="38.25" customHeight="1" x14ac:dyDescent="0.2">
      <c r="A30" s="321"/>
      <c r="B30" s="321"/>
      <c r="C30" s="321"/>
      <c r="D30" s="321"/>
      <c r="E30" s="321"/>
      <c r="F30" s="321"/>
      <c r="G30" s="321"/>
      <c r="H30" s="321"/>
      <c r="J30" s="470"/>
    </row>
    <row r="31" spans="1:10" ht="38.25" customHeight="1" x14ac:dyDescent="0.2">
      <c r="A31" s="321"/>
      <c r="B31" s="321"/>
      <c r="C31" s="321"/>
      <c r="D31" s="321"/>
      <c r="E31" s="321"/>
      <c r="F31" s="321"/>
      <c r="G31" s="321"/>
      <c r="H31" s="321"/>
    </row>
    <row r="32" spans="1:10" ht="21.75" customHeight="1" x14ac:dyDescent="0.2">
      <c r="A32" s="321"/>
      <c r="B32" s="321"/>
      <c r="C32" s="321"/>
      <c r="D32" s="321"/>
      <c r="E32" s="321"/>
      <c r="F32" s="321"/>
      <c r="G32" s="321"/>
      <c r="H32" s="321"/>
    </row>
    <row r="33" spans="1:8" ht="30" hidden="1" customHeight="1" x14ac:dyDescent="0.2">
      <c r="A33" s="321"/>
      <c r="B33" s="414" t="s">
        <v>290</v>
      </c>
      <c r="C33" s="415" t="s">
        <v>323</v>
      </c>
      <c r="D33" s="414" t="s">
        <v>232</v>
      </c>
      <c r="E33" s="416" t="s">
        <v>348</v>
      </c>
      <c r="F33" s="416" t="s">
        <v>354</v>
      </c>
      <c r="G33" s="416" t="s">
        <v>376</v>
      </c>
      <c r="H33" s="416" t="s">
        <v>291</v>
      </c>
    </row>
    <row r="34" spans="1:8" ht="15" hidden="1" x14ac:dyDescent="0.2">
      <c r="A34" s="321"/>
      <c r="B34" s="23" t="s">
        <v>351</v>
      </c>
      <c r="C34" s="402">
        <v>-20</v>
      </c>
      <c r="D34" s="402">
        <v>71.92</v>
      </c>
      <c r="E34" s="402">
        <f>10762-10528</f>
        <v>234</v>
      </c>
      <c r="F34" s="402">
        <v>-190</v>
      </c>
      <c r="G34" s="407">
        <v>95.95</v>
      </c>
      <c r="H34" s="465">
        <f>G34/G$44</f>
        <v>5.2028752623263139E-4</v>
      </c>
    </row>
    <row r="35" spans="1:8" ht="15" hidden="1" x14ac:dyDescent="0.2">
      <c r="A35" s="321"/>
      <c r="B35" s="23" t="s">
        <v>233</v>
      </c>
      <c r="C35" s="409">
        <v>38489.56</v>
      </c>
      <c r="D35" s="409">
        <v>1957.5</v>
      </c>
      <c r="E35" s="409"/>
      <c r="F35" s="409">
        <v>3786.43</v>
      </c>
      <c r="G35" s="409">
        <f>C35+D35+F35+E35</f>
        <v>44233.49</v>
      </c>
      <c r="H35" s="465">
        <f>G35/G$44</f>
        <v>0.2398554777356523</v>
      </c>
    </row>
    <row r="36" spans="1:8" ht="15" hidden="1" x14ac:dyDescent="0.2">
      <c r="A36" s="321"/>
      <c r="B36" s="23" t="s">
        <v>234</v>
      </c>
      <c r="C36" s="409">
        <v>14903.11</v>
      </c>
      <c r="D36" s="409">
        <v>192.85</v>
      </c>
      <c r="E36" s="409">
        <v>-15478.91</v>
      </c>
      <c r="F36" s="409">
        <v>382.95</v>
      </c>
      <c r="G36" s="409">
        <f t="shared" ref="G36:G43" si="1">C36+D36+F36+E36</f>
        <v>0</v>
      </c>
      <c r="H36" s="465"/>
    </row>
    <row r="37" spans="1:8" ht="15" hidden="1" x14ac:dyDescent="0.2">
      <c r="A37" s="321"/>
      <c r="B37" s="23" t="s">
        <v>235</v>
      </c>
      <c r="C37" s="409">
        <v>44091.09</v>
      </c>
      <c r="D37" s="409">
        <f>3207.47-14</f>
        <v>3193.47</v>
      </c>
      <c r="E37" s="409"/>
      <c r="F37" s="409">
        <f>10544.9+14</f>
        <v>10558.9</v>
      </c>
      <c r="G37" s="409">
        <f t="shared" si="1"/>
        <v>57843.46</v>
      </c>
      <c r="H37" s="465">
        <f>G37/G$44</f>
        <v>0.31365534874555673</v>
      </c>
    </row>
    <row r="38" spans="1:8" ht="15" hidden="1" x14ac:dyDescent="0.2">
      <c r="A38" s="321"/>
      <c r="B38" s="23" t="s">
        <v>236</v>
      </c>
      <c r="C38" s="409">
        <v>21132.04</v>
      </c>
      <c r="D38" s="409">
        <v>549.69000000000005</v>
      </c>
      <c r="E38" s="409"/>
      <c r="F38" s="409">
        <v>-212.79</v>
      </c>
      <c r="G38" s="409">
        <f t="shared" si="1"/>
        <v>21468.94</v>
      </c>
      <c r="H38" s="465">
        <f>G38/G$44</f>
        <v>0.11641502536150901</v>
      </c>
    </row>
    <row r="39" spans="1:8" ht="15" hidden="1" x14ac:dyDescent="0.2">
      <c r="A39" s="321"/>
      <c r="B39" s="23" t="s">
        <v>237</v>
      </c>
      <c r="C39" s="409">
        <v>21091.57</v>
      </c>
      <c r="D39" s="409">
        <v>438.93</v>
      </c>
      <c r="E39" s="409">
        <v>-22513.11</v>
      </c>
      <c r="F39" s="409">
        <v>982.61</v>
      </c>
      <c r="G39" s="409">
        <f t="shared" si="1"/>
        <v>0</v>
      </c>
      <c r="H39" s="465"/>
    </row>
    <row r="40" spans="1:8" ht="15" hidden="1" x14ac:dyDescent="0.2">
      <c r="A40" s="321"/>
      <c r="B40" s="23" t="s">
        <v>238</v>
      </c>
      <c r="C40" s="409">
        <v>19933.830000000002</v>
      </c>
      <c r="D40" s="409">
        <v>860.03</v>
      </c>
      <c r="E40" s="409">
        <v>-10770</v>
      </c>
      <c r="F40" s="409">
        <v>-375.6</v>
      </c>
      <c r="G40" s="409">
        <f t="shared" si="1"/>
        <v>9648.260000000002</v>
      </c>
      <c r="H40" s="465">
        <f>G40/G$44</f>
        <v>5.2317554224588322E-2</v>
      </c>
    </row>
    <row r="41" spans="1:8" ht="15" hidden="1" x14ac:dyDescent="0.2">
      <c r="A41" s="321"/>
      <c r="B41" s="23" t="s">
        <v>349</v>
      </c>
      <c r="C41" s="409"/>
      <c r="D41" s="409">
        <v>140.21</v>
      </c>
      <c r="E41" s="409">
        <v>15482.91</v>
      </c>
      <c r="F41" s="409">
        <v>64.31</v>
      </c>
      <c r="G41" s="409">
        <f t="shared" si="1"/>
        <v>15687.43</v>
      </c>
      <c r="H41" s="465">
        <f>G41/G$44</f>
        <v>8.5064868657087747E-2</v>
      </c>
    </row>
    <row r="42" spans="1:8" ht="15" hidden="1" x14ac:dyDescent="0.2">
      <c r="A42" s="321"/>
      <c r="B42" s="23" t="s">
        <v>350</v>
      </c>
      <c r="C42" s="409"/>
      <c r="D42" s="409">
        <v>512.02</v>
      </c>
      <c r="E42" s="409">
        <v>22517.11</v>
      </c>
      <c r="F42" s="409">
        <v>817.76</v>
      </c>
      <c r="G42" s="409">
        <f t="shared" si="1"/>
        <v>23846.89</v>
      </c>
      <c r="H42" s="465">
        <f>G42/G$44</f>
        <v>0.12930942580971</v>
      </c>
    </row>
    <row r="43" spans="1:8" ht="17.25" hidden="1" customHeight="1" x14ac:dyDescent="0.2">
      <c r="A43" s="321"/>
      <c r="B43" s="23" t="s">
        <v>369</v>
      </c>
      <c r="C43" s="402"/>
      <c r="D43" s="350">
        <v>81.599999999999994</v>
      </c>
      <c r="E43" s="467">
        <v>10528</v>
      </c>
      <c r="F43" s="402">
        <v>983.24</v>
      </c>
      <c r="G43" s="402">
        <f t="shared" si="1"/>
        <v>11592.84</v>
      </c>
      <c r="H43" s="465">
        <f>G43/G$44</f>
        <v>6.2862011939663356E-2</v>
      </c>
    </row>
    <row r="44" spans="1:8" ht="15" hidden="1" x14ac:dyDescent="0.25">
      <c r="A44" s="321"/>
      <c r="B44" s="403" t="s">
        <v>250</v>
      </c>
      <c r="C44" s="404">
        <f>SUM(C34:C43)</f>
        <v>159621.20000000001</v>
      </c>
      <c r="D44" s="405">
        <f>SUM(D35:D43)</f>
        <v>7926.3000000000011</v>
      </c>
      <c r="E44" s="404">
        <f>SUM(E34:E43)</f>
        <v>0</v>
      </c>
      <c r="F44" s="404">
        <f>SUM(F34:F43)+72</f>
        <v>16869.809999999998</v>
      </c>
      <c r="G44" s="404">
        <f>SUM(G34:G43)</f>
        <v>184417.25999999998</v>
      </c>
      <c r="H44" s="466">
        <f>SUM(H34:H43)</f>
        <v>1.0000000000000002</v>
      </c>
    </row>
    <row r="45" spans="1:8" ht="15" hidden="1" x14ac:dyDescent="0.2">
      <c r="A45" s="321"/>
      <c r="B45" s="71"/>
      <c r="C45" s="461"/>
      <c r="D45" s="461"/>
      <c r="E45" s="461"/>
      <c r="F45" s="461"/>
      <c r="G45" s="462"/>
    </row>
    <row r="46" spans="1:8" ht="15" hidden="1" x14ac:dyDescent="0.2">
      <c r="A46" s="321"/>
      <c r="C46" s="213"/>
      <c r="D46" s="213"/>
      <c r="E46" s="213"/>
      <c r="F46" s="213"/>
      <c r="G46" s="459"/>
    </row>
    <row r="47" spans="1:8" ht="15" hidden="1" x14ac:dyDescent="0.2">
      <c r="A47" s="321"/>
      <c r="B47" s="829" t="s">
        <v>346</v>
      </c>
      <c r="C47" s="829"/>
      <c r="D47" s="829"/>
      <c r="E47" s="829"/>
      <c r="F47" s="321"/>
      <c r="G47" s="321"/>
      <c r="H47" s="321"/>
    </row>
    <row r="48" spans="1:8" ht="47.25" hidden="1" customHeight="1" x14ac:dyDescent="0.2">
      <c r="A48" s="321"/>
      <c r="B48" s="813" t="s">
        <v>247</v>
      </c>
      <c r="C48" s="814"/>
      <c r="D48" s="814"/>
      <c r="E48" s="814"/>
      <c r="F48" s="814"/>
      <c r="G48" s="814"/>
      <c r="H48" s="335"/>
    </row>
    <row r="49" spans="1:8" ht="47.25" hidden="1" customHeight="1" x14ac:dyDescent="0.2">
      <c r="A49" s="321"/>
      <c r="B49" s="813" t="s">
        <v>249</v>
      </c>
      <c r="C49" s="814"/>
      <c r="D49" s="814"/>
      <c r="E49" s="814"/>
      <c r="F49" s="814"/>
      <c r="G49" s="814"/>
      <c r="H49" s="335"/>
    </row>
    <row r="50" spans="1:8" ht="42" hidden="1" customHeight="1" x14ac:dyDescent="0.2">
      <c r="A50" s="321"/>
      <c r="B50" s="817" t="s">
        <v>246</v>
      </c>
      <c r="C50" s="818"/>
      <c r="D50" s="818"/>
      <c r="E50" s="818"/>
      <c r="F50" s="818"/>
      <c r="G50" s="818"/>
      <c r="H50" s="335"/>
    </row>
    <row r="51" spans="1:8" ht="47.25" hidden="1" customHeight="1" x14ac:dyDescent="0.2">
      <c r="A51" s="321"/>
      <c r="B51" s="813" t="s">
        <v>245</v>
      </c>
      <c r="C51" s="814"/>
      <c r="D51" s="814"/>
      <c r="E51" s="814"/>
      <c r="F51" s="814"/>
      <c r="G51" s="814"/>
      <c r="H51" s="335"/>
    </row>
    <row r="52" spans="1:8" ht="47.25" hidden="1" customHeight="1" x14ac:dyDescent="0.2">
      <c r="A52" s="321"/>
      <c r="B52" s="813" t="s">
        <v>244</v>
      </c>
      <c r="C52" s="814"/>
      <c r="D52" s="814"/>
      <c r="E52" s="814"/>
      <c r="F52" s="814"/>
      <c r="G52" s="814"/>
      <c r="H52" s="335"/>
    </row>
    <row r="53" spans="1:8" ht="47.25" hidden="1" customHeight="1" x14ac:dyDescent="0.2">
      <c r="A53" s="321"/>
      <c r="B53" s="813" t="s">
        <v>243</v>
      </c>
      <c r="C53" s="814"/>
      <c r="D53" s="814"/>
      <c r="E53" s="814"/>
      <c r="F53" s="814"/>
      <c r="G53" s="814"/>
      <c r="H53" s="335"/>
    </row>
    <row r="54" spans="1:8" ht="46.5" hidden="1" customHeight="1" x14ac:dyDescent="0.2">
      <c r="A54" s="321"/>
      <c r="B54" s="813" t="s">
        <v>352</v>
      </c>
      <c r="C54" s="814"/>
      <c r="D54" s="814"/>
      <c r="E54" s="814"/>
      <c r="F54" s="814"/>
      <c r="G54" s="814"/>
      <c r="H54" s="335"/>
    </row>
    <row r="55" spans="1:8" ht="38.25" hidden="1" customHeight="1" x14ac:dyDescent="0.2">
      <c r="A55" s="321"/>
      <c r="B55" s="813" t="s">
        <v>353</v>
      </c>
      <c r="C55" s="814"/>
      <c r="D55" s="814"/>
      <c r="E55" s="814"/>
      <c r="F55" s="814"/>
      <c r="G55" s="814"/>
      <c r="H55" s="335"/>
    </row>
    <row r="56" spans="1:8" ht="93" hidden="1" customHeight="1" x14ac:dyDescent="0.2">
      <c r="A56" s="321"/>
      <c r="B56" s="821" t="s">
        <v>368</v>
      </c>
      <c r="C56" s="814"/>
      <c r="D56" s="814"/>
      <c r="E56" s="814"/>
      <c r="F56" s="814"/>
      <c r="G56" s="814"/>
      <c r="H56" s="321"/>
    </row>
    <row r="57" spans="1:8" ht="32.25" customHeight="1" x14ac:dyDescent="0.25">
      <c r="A57" s="799" t="s">
        <v>410</v>
      </c>
      <c r="B57" s="799"/>
      <c r="C57" s="799"/>
      <c r="D57" s="799"/>
      <c r="E57" s="799"/>
      <c r="F57" s="799"/>
      <c r="G57" s="799"/>
      <c r="H57" s="799"/>
    </row>
    <row r="58" spans="1:8" ht="16.5" customHeight="1" x14ac:dyDescent="0.25">
      <c r="A58" s="447"/>
      <c r="B58" s="458" t="s">
        <v>344</v>
      </c>
      <c r="C58" s="447"/>
      <c r="D58" s="447"/>
      <c r="E58" s="447"/>
      <c r="F58" s="447"/>
      <c r="G58" s="447"/>
      <c r="H58" s="447"/>
    </row>
    <row r="59" spans="1:8" ht="15" x14ac:dyDescent="0.25">
      <c r="A59" s="321"/>
      <c r="B59" s="480" t="s">
        <v>239</v>
      </c>
      <c r="C59" s="322" t="s">
        <v>240</v>
      </c>
      <c r="D59" s="480" t="s">
        <v>241</v>
      </c>
      <c r="E59" s="819" t="s">
        <v>22</v>
      </c>
      <c r="F59" s="820"/>
      <c r="G59" s="480" t="s">
        <v>242</v>
      </c>
      <c r="H59" s="321"/>
    </row>
    <row r="60" spans="1:8" ht="30" customHeight="1" x14ac:dyDescent="0.2">
      <c r="A60" s="321"/>
      <c r="B60" s="323">
        <v>45713</v>
      </c>
      <c r="C60" s="327" t="s">
        <v>440</v>
      </c>
      <c r="D60" s="408" t="s">
        <v>581</v>
      </c>
      <c r="E60" s="816" t="s">
        <v>580</v>
      </c>
      <c r="F60" s="816"/>
      <c r="G60" s="324">
        <v>16789</v>
      </c>
      <c r="H60" s="321"/>
    </row>
    <row r="61" spans="1:8" ht="30" hidden="1" customHeight="1" x14ac:dyDescent="0.2">
      <c r="A61" s="321"/>
      <c r="B61" s="323"/>
      <c r="C61" s="327"/>
      <c r="D61" s="408"/>
      <c r="E61" s="816"/>
      <c r="F61" s="816"/>
      <c r="G61" s="324"/>
      <c r="H61" s="321"/>
    </row>
    <row r="62" spans="1:8" ht="30" hidden="1" customHeight="1" x14ac:dyDescent="0.2">
      <c r="A62" s="321"/>
      <c r="B62" s="323"/>
      <c r="C62" s="327"/>
      <c r="D62" s="364"/>
      <c r="E62" s="816"/>
      <c r="F62" s="816"/>
      <c r="G62" s="324"/>
      <c r="H62" s="321"/>
    </row>
    <row r="63" spans="1:8" ht="30" hidden="1" customHeight="1" x14ac:dyDescent="0.2">
      <c r="A63" s="321"/>
      <c r="B63" s="323">
        <v>45375</v>
      </c>
      <c r="C63" s="327" t="s">
        <v>591</v>
      </c>
      <c r="D63" s="364" t="s">
        <v>592</v>
      </c>
      <c r="E63" s="822" t="s">
        <v>593</v>
      </c>
      <c r="F63" s="823"/>
      <c r="G63" s="324">
        <v>0</v>
      </c>
      <c r="H63" s="321"/>
    </row>
    <row r="64" spans="1:8" ht="15" x14ac:dyDescent="0.2">
      <c r="A64" s="321"/>
      <c r="B64" s="357"/>
      <c r="C64" s="358"/>
      <c r="D64" s="359"/>
      <c r="E64" s="358"/>
      <c r="F64" s="326" t="s">
        <v>329</v>
      </c>
      <c r="G64" s="626">
        <f>SUM(G60:G62)+G63</f>
        <v>16789</v>
      </c>
      <c r="H64" s="321"/>
    </row>
    <row r="65" spans="1:8" ht="8.25" customHeight="1" x14ac:dyDescent="0.2">
      <c r="A65" s="321"/>
      <c r="B65" s="357"/>
      <c r="C65" s="358"/>
      <c r="D65" s="359"/>
      <c r="E65" s="358"/>
      <c r="F65" s="326"/>
      <c r="G65" s="511"/>
      <c r="H65" s="321"/>
    </row>
    <row r="66" spans="1:8" ht="21.75" hidden="1" customHeight="1" x14ac:dyDescent="0.2">
      <c r="A66" s="321"/>
      <c r="B66" s="815"/>
      <c r="C66" s="815"/>
      <c r="D66" s="815"/>
      <c r="E66" s="815"/>
      <c r="F66" s="815"/>
      <c r="G66" s="815"/>
      <c r="H66" s="321"/>
    </row>
    <row r="67" spans="1:8" ht="15" hidden="1" x14ac:dyDescent="0.2">
      <c r="A67" s="321"/>
      <c r="B67" s="360" t="s">
        <v>345</v>
      </c>
      <c r="C67" s="361" t="s">
        <v>264</v>
      </c>
      <c r="D67" s="362" t="s">
        <v>263</v>
      </c>
      <c r="E67" s="808" t="s">
        <v>22</v>
      </c>
      <c r="F67" s="809"/>
      <c r="G67" s="363" t="s">
        <v>518</v>
      </c>
      <c r="H67" s="321"/>
    </row>
    <row r="68" spans="1:8" ht="15" hidden="1" x14ac:dyDescent="0.2">
      <c r="A68" s="321"/>
      <c r="B68" s="323">
        <v>44958</v>
      </c>
      <c r="C68" s="408" t="s">
        <v>441</v>
      </c>
      <c r="D68" s="563">
        <v>169208</v>
      </c>
      <c r="E68" s="811" t="s">
        <v>514</v>
      </c>
      <c r="F68" s="812"/>
      <c r="G68" s="566"/>
      <c r="H68" s="321"/>
    </row>
    <row r="69" spans="1:8" ht="15" hidden="1" x14ac:dyDescent="0.2">
      <c r="A69" s="321"/>
      <c r="B69" s="323">
        <v>44958</v>
      </c>
      <c r="C69" s="408" t="s">
        <v>441</v>
      </c>
      <c r="D69" s="563">
        <v>189553</v>
      </c>
      <c r="E69" s="811" t="s">
        <v>513</v>
      </c>
      <c r="F69" s="812"/>
      <c r="G69" s="566"/>
      <c r="H69" s="321"/>
    </row>
    <row r="70" spans="1:8" ht="15" hidden="1" x14ac:dyDescent="0.2">
      <c r="A70" s="321"/>
      <c r="B70" s="323">
        <v>44958</v>
      </c>
      <c r="C70" s="408" t="s">
        <v>441</v>
      </c>
      <c r="D70" s="563">
        <v>196400</v>
      </c>
      <c r="E70" s="811" t="s">
        <v>516</v>
      </c>
      <c r="F70" s="812"/>
      <c r="G70" s="566"/>
      <c r="H70" s="321"/>
    </row>
    <row r="71" spans="1:8" ht="22.5" hidden="1" customHeight="1" x14ac:dyDescent="0.2">
      <c r="A71" s="321"/>
      <c r="B71" s="323">
        <v>44958</v>
      </c>
      <c r="C71" s="408" t="s">
        <v>441</v>
      </c>
      <c r="D71" s="563">
        <v>138945</v>
      </c>
      <c r="E71" s="811" t="s">
        <v>515</v>
      </c>
      <c r="F71" s="812"/>
      <c r="G71" s="566"/>
      <c r="H71" s="321"/>
    </row>
    <row r="72" spans="1:8" ht="15" hidden="1" x14ac:dyDescent="0.2">
      <c r="A72" s="321"/>
      <c r="B72" s="323">
        <v>44927</v>
      </c>
      <c r="C72" s="408" t="s">
        <v>441</v>
      </c>
      <c r="D72" s="563">
        <v>133109</v>
      </c>
      <c r="E72" s="830" t="s">
        <v>517</v>
      </c>
      <c r="F72" s="830"/>
      <c r="G72" s="566"/>
      <c r="H72" s="321"/>
    </row>
    <row r="73" spans="1:8" ht="15" hidden="1" x14ac:dyDescent="0.2">
      <c r="A73" s="321"/>
      <c r="B73" s="323">
        <v>44927</v>
      </c>
      <c r="C73" s="408" t="s">
        <v>441</v>
      </c>
      <c r="D73" s="563">
        <v>116338</v>
      </c>
      <c r="E73" s="830" t="s">
        <v>512</v>
      </c>
      <c r="F73" s="830"/>
      <c r="G73" s="566"/>
      <c r="H73" s="321"/>
    </row>
    <row r="74" spans="1:8" ht="15" hidden="1" x14ac:dyDescent="0.2">
      <c r="A74" s="321"/>
      <c r="B74" s="325"/>
      <c r="C74" s="325"/>
      <c r="D74" s="564"/>
      <c r="E74" s="325"/>
      <c r="F74" s="326" t="s">
        <v>330</v>
      </c>
      <c r="G74" s="565">
        <f>SUM(G68:G73)</f>
        <v>0</v>
      </c>
      <c r="H74" s="321"/>
    </row>
    <row r="75" spans="1:8" ht="11.25" customHeight="1" x14ac:dyDescent="0.2">
      <c r="A75" s="321"/>
      <c r="B75" s="321"/>
      <c r="C75" s="321"/>
      <c r="D75" s="321"/>
      <c r="E75" s="321"/>
      <c r="F75" s="321"/>
      <c r="G75" s="321"/>
      <c r="H75" s="321"/>
    </row>
    <row r="76" spans="1:8" ht="38.25" customHeight="1" x14ac:dyDescent="0.2">
      <c r="A76" s="798" t="s">
        <v>733</v>
      </c>
      <c r="B76" s="798"/>
      <c r="C76" s="798"/>
      <c r="D76" s="798"/>
      <c r="E76" s="798"/>
      <c r="F76" s="798"/>
      <c r="G76" s="798"/>
      <c r="H76" s="798"/>
    </row>
    <row r="77" spans="1:8" ht="15.75" hidden="1" customHeight="1" x14ac:dyDescent="0.2">
      <c r="A77" s="293"/>
      <c r="C77" s="804" t="s">
        <v>262</v>
      </c>
      <c r="D77" s="804"/>
      <c r="E77" s="328">
        <v>1823.85</v>
      </c>
      <c r="F77" s="810" t="s">
        <v>265</v>
      </c>
      <c r="G77" s="810"/>
      <c r="H77" s="293"/>
    </row>
    <row r="78" spans="1:8" ht="15.75" hidden="1" customHeight="1" x14ac:dyDescent="0.2">
      <c r="A78" s="293"/>
      <c r="C78" s="804"/>
      <c r="D78" s="804"/>
      <c r="E78" s="328"/>
      <c r="F78" s="810"/>
      <c r="G78" s="810"/>
      <c r="H78" s="293"/>
    </row>
    <row r="79" spans="1:8" ht="15.75" hidden="1" customHeight="1" x14ac:dyDescent="0.2">
      <c r="A79" s="293"/>
      <c r="C79" s="804"/>
      <c r="D79" s="804"/>
      <c r="E79" s="328"/>
      <c r="F79" s="810"/>
      <c r="G79" s="810"/>
      <c r="H79" s="293"/>
    </row>
    <row r="80" spans="1:8" ht="15.75" hidden="1" customHeight="1" x14ac:dyDescent="0.2">
      <c r="A80" s="293"/>
      <c r="C80" s="804" t="s">
        <v>226</v>
      </c>
      <c r="D80" s="804"/>
      <c r="E80" s="328">
        <f>1689.92+2978.07</f>
        <v>4667.99</v>
      </c>
      <c r="F80" s="810" t="s">
        <v>266</v>
      </c>
      <c r="G80" s="810"/>
      <c r="H80" s="293"/>
    </row>
    <row r="81" spans="1:8" ht="16.5" hidden="1" thickBot="1" x14ac:dyDescent="0.25">
      <c r="A81" s="293"/>
      <c r="B81" s="301"/>
      <c r="C81" s="831" t="s">
        <v>202</v>
      </c>
      <c r="D81" s="831"/>
      <c r="E81" s="298">
        <f>SUM(E77:E80)</f>
        <v>6491.84</v>
      </c>
      <c r="F81" s="301"/>
      <c r="G81" s="301"/>
      <c r="H81" s="293"/>
    </row>
    <row r="82" spans="1:8" ht="9.75" customHeight="1" x14ac:dyDescent="0.2">
      <c r="A82" s="293"/>
      <c r="B82" s="301"/>
      <c r="C82" s="302"/>
      <c r="D82" s="302"/>
      <c r="E82" s="365"/>
      <c r="F82" s="301"/>
      <c r="G82" s="301"/>
      <c r="H82" s="293"/>
    </row>
    <row r="83" spans="1:8" ht="33" customHeight="1" x14ac:dyDescent="0.25">
      <c r="A83" s="799" t="s">
        <v>600</v>
      </c>
      <c r="B83" s="799"/>
      <c r="C83" s="799"/>
      <c r="D83" s="799"/>
      <c r="E83" s="799"/>
      <c r="F83" s="799"/>
      <c r="G83" s="799"/>
      <c r="H83" s="799"/>
    </row>
    <row r="84" spans="1:8" ht="11.25" hidden="1" customHeight="1" x14ac:dyDescent="0.2">
      <c r="A84" s="447"/>
      <c r="B84" s="447"/>
      <c r="C84" s="447"/>
      <c r="D84" s="447"/>
      <c r="E84" s="447"/>
      <c r="F84" s="447"/>
      <c r="G84" s="447"/>
      <c r="H84" s="447"/>
    </row>
    <row r="85" spans="1:8" ht="47.25" hidden="1" customHeight="1" x14ac:dyDescent="0.2">
      <c r="A85" s="797" t="s">
        <v>378</v>
      </c>
      <c r="B85" s="797"/>
      <c r="C85" s="797"/>
      <c r="D85" s="797"/>
      <c r="E85" s="797"/>
      <c r="F85" s="797"/>
      <c r="G85" s="797"/>
      <c r="H85" s="797"/>
    </row>
    <row r="86" spans="1:8" ht="8.25" customHeight="1" x14ac:dyDescent="0.2">
      <c r="A86" s="293"/>
      <c r="B86" s="301"/>
      <c r="C86" s="302"/>
      <c r="D86" s="302"/>
      <c r="E86" s="365"/>
      <c r="F86" s="301"/>
      <c r="G86" s="301"/>
      <c r="H86" s="293"/>
    </row>
    <row r="87" spans="1:8" ht="97.5" customHeight="1" x14ac:dyDescent="0.2">
      <c r="A87" s="798" t="s">
        <v>710</v>
      </c>
      <c r="B87" s="798"/>
      <c r="C87" s="798"/>
      <c r="D87" s="798"/>
      <c r="E87" s="798"/>
      <c r="F87" s="798"/>
      <c r="G87" s="798"/>
      <c r="H87" s="798"/>
    </row>
    <row r="88" spans="1:8" ht="47.25" x14ac:dyDescent="0.2">
      <c r="A88" s="300"/>
      <c r="B88" s="796" t="s">
        <v>194</v>
      </c>
      <c r="C88" s="796"/>
      <c r="D88" s="303" t="s">
        <v>195</v>
      </c>
      <c r="E88" s="294" t="s">
        <v>196</v>
      </c>
      <c r="F88" s="303" t="s">
        <v>197</v>
      </c>
      <c r="G88" s="303" t="s">
        <v>711</v>
      </c>
      <c r="H88" s="300"/>
    </row>
    <row r="89" spans="1:8" ht="15.75" customHeight="1" x14ac:dyDescent="0.2">
      <c r="A89" s="300"/>
      <c r="B89" s="801" t="s">
        <v>10</v>
      </c>
      <c r="C89" s="801"/>
      <c r="D89" s="801"/>
      <c r="E89" s="302"/>
      <c r="F89" s="302"/>
      <c r="G89" s="302"/>
      <c r="H89" s="300"/>
    </row>
    <row r="90" spans="1:8" ht="15.75" customHeight="1" x14ac:dyDescent="0.2">
      <c r="A90" s="300"/>
      <c r="B90" s="802" t="s">
        <v>227</v>
      </c>
      <c r="C90" s="802"/>
      <c r="D90" s="302">
        <v>397.45</v>
      </c>
      <c r="E90" s="302">
        <v>10000</v>
      </c>
      <c r="F90" s="302">
        <f>-'February''25 Revenues &amp; Expenses'!I33</f>
        <v>-312.04000000000002</v>
      </c>
      <c r="G90" s="302">
        <f>D90+E90+F90</f>
        <v>10085.41</v>
      </c>
      <c r="H90" s="487"/>
    </row>
    <row r="91" spans="1:8" ht="15.75" customHeight="1" x14ac:dyDescent="0.2">
      <c r="A91" s="300"/>
      <c r="B91" s="802" t="s">
        <v>228</v>
      </c>
      <c r="C91" s="802"/>
      <c r="D91" s="302">
        <f>'February''25 Revenues &amp; Expenses'!G30</f>
        <v>25000</v>
      </c>
      <c r="E91" s="302"/>
      <c r="F91" s="302">
        <f>-'February''25 Revenues &amp; Expenses'!I30</f>
        <v>-4040.38</v>
      </c>
      <c r="G91" s="302">
        <f>D91+E91+F91</f>
        <v>20959.62</v>
      </c>
      <c r="H91" s="300"/>
    </row>
    <row r="92" spans="1:8" ht="15.75" hidden="1" customHeight="1" x14ac:dyDescent="0.2">
      <c r="A92" s="300"/>
      <c r="B92" s="802" t="s">
        <v>426</v>
      </c>
      <c r="C92" s="802"/>
      <c r="D92" s="302">
        <v>0</v>
      </c>
      <c r="E92" s="302"/>
      <c r="F92" s="302">
        <f>'February''25 Revenues &amp; Expenses'!I34*-1</f>
        <v>0</v>
      </c>
      <c r="G92" s="302">
        <f>'February''25 Revenues &amp; Expenses'!L32+'February''25 Revenues &amp; Expenses'!L34</f>
        <v>0</v>
      </c>
      <c r="H92" s="300"/>
    </row>
    <row r="93" spans="1:8" ht="15.75" customHeight="1" x14ac:dyDescent="0.2">
      <c r="A93" s="300"/>
      <c r="B93" s="801" t="s">
        <v>15</v>
      </c>
      <c r="C93" s="801"/>
      <c r="D93" s="302"/>
      <c r="E93" s="302"/>
      <c r="F93" s="302"/>
      <c r="G93" s="302"/>
      <c r="H93" s="300"/>
    </row>
    <row r="94" spans="1:8" ht="15.75" customHeight="1" x14ac:dyDescent="0.2">
      <c r="A94" s="300"/>
      <c r="B94" s="802" t="s">
        <v>582</v>
      </c>
      <c r="C94" s="802"/>
      <c r="D94" s="302">
        <v>55000</v>
      </c>
      <c r="E94" s="302"/>
      <c r="F94" s="302">
        <f>-'February''25 Revenues &amp; Expenses'!I37</f>
        <v>-9166.6666666666661</v>
      </c>
      <c r="G94" s="302">
        <f>D94+E94+F94</f>
        <v>45833.333333333336</v>
      </c>
      <c r="H94" s="300"/>
    </row>
    <row r="95" spans="1:8" ht="15.75" hidden="1" customHeight="1" x14ac:dyDescent="0.2">
      <c r="A95" s="300"/>
      <c r="B95" s="801"/>
      <c r="C95" s="801"/>
      <c r="D95" s="302"/>
      <c r="E95" s="302"/>
      <c r="F95" s="302"/>
      <c r="G95" s="302"/>
      <c r="H95" s="300"/>
    </row>
    <row r="96" spans="1:8" ht="15.75" hidden="1" customHeight="1" x14ac:dyDescent="0.2">
      <c r="A96" s="300"/>
      <c r="B96" s="802"/>
      <c r="C96" s="802"/>
      <c r="D96" s="302">
        <v>0</v>
      </c>
      <c r="E96" s="302"/>
      <c r="F96" s="302">
        <f>-'February''25 Revenues &amp; Expenses'!I39</f>
        <v>0</v>
      </c>
      <c r="G96" s="302">
        <f>'February''25 Revenues &amp; Expenses'!L39</f>
        <v>0</v>
      </c>
      <c r="H96" s="300"/>
    </row>
    <row r="97" spans="1:11" ht="15.75" customHeight="1" x14ac:dyDescent="0.2">
      <c r="A97" s="300"/>
      <c r="B97" s="801" t="s">
        <v>606</v>
      </c>
      <c r="C97" s="801"/>
      <c r="D97" s="302"/>
      <c r="E97" s="302"/>
      <c r="F97" s="302"/>
      <c r="G97" s="302"/>
      <c r="H97" s="300"/>
    </row>
    <row r="98" spans="1:11" ht="15.75" customHeight="1" x14ac:dyDescent="0.2">
      <c r="A98" s="300"/>
      <c r="B98" s="804" t="s">
        <v>667</v>
      </c>
      <c r="C98" s="804"/>
      <c r="D98" s="302">
        <f>'February''25 Revenues &amp; Expenses'!H42</f>
        <v>18750</v>
      </c>
      <c r="E98" s="302">
        <v>0</v>
      </c>
      <c r="F98" s="302">
        <f>-'February''25 Revenues &amp; Expenses'!I42</f>
        <v>-4166.66</v>
      </c>
      <c r="G98" s="302">
        <f>D98+E98+F98</f>
        <v>14583.34</v>
      </c>
      <c r="H98" s="300"/>
    </row>
    <row r="99" spans="1:11" ht="15.75" customHeight="1" x14ac:dyDescent="0.2">
      <c r="A99" s="300"/>
      <c r="B99" s="801" t="s">
        <v>585</v>
      </c>
      <c r="C99" s="801"/>
      <c r="D99" s="302"/>
      <c r="E99" s="302"/>
      <c r="F99" s="302"/>
      <c r="G99" s="302"/>
      <c r="H99" s="300"/>
    </row>
    <row r="100" spans="1:11" ht="15.75" customHeight="1" x14ac:dyDescent="0.2">
      <c r="A100" s="300"/>
      <c r="B100" s="804" t="s">
        <v>571</v>
      </c>
      <c r="C100" s="804"/>
      <c r="D100" s="302">
        <f>'February''25 Revenues &amp; Expenses'!G41</f>
        <v>125000</v>
      </c>
      <c r="E100" s="302"/>
      <c r="F100" s="302">
        <f>-'February''25 Revenues &amp; Expenses'!I41</f>
        <v>-17440.25</v>
      </c>
      <c r="G100" s="302">
        <f>D100+E100+F100</f>
        <v>107559.75</v>
      </c>
      <c r="H100" s="300"/>
    </row>
    <row r="101" spans="1:11" ht="7.5" customHeight="1" x14ac:dyDescent="0.2">
      <c r="A101" s="300"/>
      <c r="B101" s="800"/>
      <c r="C101" s="800"/>
      <c r="D101" s="302"/>
      <c r="E101" s="302"/>
      <c r="F101" s="302"/>
      <c r="G101" s="302"/>
      <c r="H101" s="300"/>
    </row>
    <row r="102" spans="1:11" ht="15.75" customHeight="1" thickBot="1" x14ac:dyDescent="0.25">
      <c r="A102" s="300"/>
      <c r="B102" s="803" t="s">
        <v>229</v>
      </c>
      <c r="C102" s="803"/>
      <c r="D102" s="295">
        <f>SUM(D89:D101)</f>
        <v>224147.45</v>
      </c>
      <c r="E102" s="295">
        <f>SUM(E89:E101)</f>
        <v>10000</v>
      </c>
      <c r="F102" s="295">
        <f>SUM(F89:F101)</f>
        <v>-35125.996666666666</v>
      </c>
      <c r="G102" s="295">
        <f>SUM(G89:G101)</f>
        <v>199021.45333333334</v>
      </c>
      <c r="H102" s="300"/>
      <c r="K102" s="773" t="b">
        <f>SUM(D102:F102)=G102</f>
        <v>1</v>
      </c>
    </row>
    <row r="103" spans="1:11" ht="11.25" customHeight="1" thickTop="1" x14ac:dyDescent="0.2">
      <c r="A103" s="300"/>
      <c r="B103" s="318"/>
      <c r="C103" s="318"/>
      <c r="D103" s="319"/>
      <c r="E103" s="319"/>
      <c r="F103" s="319"/>
      <c r="G103" s="319"/>
      <c r="H103" s="300"/>
    </row>
    <row r="104" spans="1:11" ht="67.5" customHeight="1" x14ac:dyDescent="0.2">
      <c r="A104" s="798" t="s">
        <v>712</v>
      </c>
      <c r="B104" s="798"/>
      <c r="C104" s="798"/>
      <c r="D104" s="798"/>
      <c r="E104" s="798"/>
      <c r="F104" s="798"/>
      <c r="G104" s="798"/>
      <c r="H104" s="798"/>
    </row>
    <row r="105" spans="1:11" ht="47.25" x14ac:dyDescent="0.2">
      <c r="A105" s="300"/>
      <c r="B105" s="796" t="s">
        <v>194</v>
      </c>
      <c r="C105" s="796"/>
      <c r="D105" s="303" t="s">
        <v>195</v>
      </c>
      <c r="E105" s="294" t="s">
        <v>196</v>
      </c>
      <c r="F105" s="303" t="s">
        <v>197</v>
      </c>
      <c r="G105" s="303" t="str">
        <f>G88</f>
        <v>Ending Balance at February 28, 2025</v>
      </c>
      <c r="H105" s="300"/>
    </row>
    <row r="106" spans="1:11" ht="15.75" customHeight="1" x14ac:dyDescent="0.2">
      <c r="A106" s="300"/>
      <c r="B106" s="806" t="s">
        <v>198</v>
      </c>
      <c r="C106" s="806"/>
      <c r="D106" s="302">
        <v>0</v>
      </c>
      <c r="E106" s="302">
        <v>52000</v>
      </c>
      <c r="F106" s="302">
        <f>-'February''25 Revenues &amp; Expenses'!K50</f>
        <v>-8666.6666666666661</v>
      </c>
      <c r="G106" s="302">
        <f>D106+E106+F106</f>
        <v>43333.333333333336</v>
      </c>
      <c r="H106" s="300"/>
    </row>
    <row r="107" spans="1:11" ht="15.75" customHeight="1" x14ac:dyDescent="0.2">
      <c r="A107" s="300"/>
      <c r="B107" s="806" t="s">
        <v>248</v>
      </c>
      <c r="C107" s="806"/>
      <c r="D107" s="302">
        <v>0</v>
      </c>
      <c r="E107" s="302">
        <f>'February''25 Revenues &amp; Expenses'!G53</f>
        <v>17500</v>
      </c>
      <c r="F107" s="302">
        <f>-'February''25 Revenues &amp; Expenses'!K53</f>
        <v>-2916.6666666666665</v>
      </c>
      <c r="G107" s="302">
        <f>D107+E107+F107</f>
        <v>14583.333333333334</v>
      </c>
      <c r="H107" s="300"/>
    </row>
    <row r="108" spans="1:11" ht="15.75" customHeight="1" x14ac:dyDescent="0.2">
      <c r="A108" s="300"/>
      <c r="B108" s="806" t="s">
        <v>199</v>
      </c>
      <c r="C108" s="806"/>
      <c r="D108" s="302">
        <f>'February''25 Revenues &amp; Expenses'!H59</f>
        <v>13601.69</v>
      </c>
      <c r="E108" s="302">
        <f>'February''25 Revenues &amp; Expenses'!I59</f>
        <v>500</v>
      </c>
      <c r="F108" s="302">
        <f>-'February''25 Revenues &amp; Expenses'!K59</f>
        <v>-1089.2</v>
      </c>
      <c r="G108" s="302">
        <f>D108+E108+F108</f>
        <v>13012.49</v>
      </c>
      <c r="H108" s="300"/>
    </row>
    <row r="109" spans="1:11" ht="15.75" customHeight="1" x14ac:dyDescent="0.2">
      <c r="A109" s="300"/>
      <c r="B109" s="806" t="s">
        <v>200</v>
      </c>
      <c r="C109" s="806"/>
      <c r="D109" s="302">
        <f>'February''25 Revenues &amp; Expenses'!H60</f>
        <v>7823.99</v>
      </c>
      <c r="E109" s="302">
        <f>'February''25 Revenues &amp; Expenses'!I60</f>
        <v>0</v>
      </c>
      <c r="F109" s="302">
        <f>-'February''25 Revenues &amp; Expenses'!K60</f>
        <v>-104.41</v>
      </c>
      <c r="G109" s="302">
        <f>D109+E109+F109</f>
        <v>7719.58</v>
      </c>
      <c r="H109" s="300"/>
    </row>
    <row r="110" spans="1:11" ht="15.75" hidden="1" customHeight="1" x14ac:dyDescent="0.2">
      <c r="A110" s="300"/>
      <c r="B110" s="804" t="s">
        <v>543</v>
      </c>
      <c r="C110" s="804"/>
      <c r="D110" s="302">
        <v>0</v>
      </c>
      <c r="E110" s="302"/>
      <c r="F110" s="302">
        <f>-'February''25 Revenues &amp; Expenses'!I36</f>
        <v>0</v>
      </c>
      <c r="G110" s="302">
        <f t="shared" ref="G110" si="2">D110+E110+F110</f>
        <v>0</v>
      </c>
      <c r="H110" s="300"/>
    </row>
    <row r="111" spans="1:11" ht="15.75" x14ac:dyDescent="0.2">
      <c r="A111" s="300"/>
      <c r="B111" s="806" t="s">
        <v>544</v>
      </c>
      <c r="C111" s="806"/>
      <c r="D111" s="302"/>
      <c r="E111" s="302">
        <v>0</v>
      </c>
      <c r="F111" s="302">
        <v>0</v>
      </c>
      <c r="G111" s="302">
        <f>D111+E111+F111</f>
        <v>0</v>
      </c>
      <c r="H111" s="300"/>
      <c r="K111" s="460"/>
    </row>
    <row r="112" spans="1:11" ht="15.75" x14ac:dyDescent="0.2">
      <c r="A112" s="300"/>
      <c r="B112" s="807"/>
      <c r="C112" s="807"/>
      <c r="D112" s="302"/>
      <c r="E112" s="302"/>
      <c r="F112" s="302"/>
      <c r="G112" s="302"/>
      <c r="H112" s="300"/>
      <c r="K112" s="460"/>
    </row>
    <row r="113" spans="1:11" ht="15.75" customHeight="1" thickBot="1" x14ac:dyDescent="0.25">
      <c r="A113" s="300"/>
      <c r="B113" s="805" t="s">
        <v>201</v>
      </c>
      <c r="C113" s="805"/>
      <c r="D113" s="295">
        <f>SUM(D106:D112)</f>
        <v>21425.68</v>
      </c>
      <c r="E113" s="295">
        <f>SUM(E106:E112)</f>
        <v>70000</v>
      </c>
      <c r="F113" s="295">
        <f>SUM(F106:F112)</f>
        <v>-12776.943333333333</v>
      </c>
      <c r="G113" s="295">
        <f>SUM(G106:G112)</f>
        <v>78648.736666666679</v>
      </c>
      <c r="H113" s="300"/>
      <c r="K113" s="773" t="b">
        <f>SUM(D113:F113)=G113</f>
        <v>1</v>
      </c>
    </row>
  </sheetData>
  <mergeCells count="78">
    <mergeCell ref="B97:C97"/>
    <mergeCell ref="B98:C98"/>
    <mergeCell ref="B92:C92"/>
    <mergeCell ref="A76:H76"/>
    <mergeCell ref="E72:F72"/>
    <mergeCell ref="B89:D89"/>
    <mergeCell ref="E73:F73"/>
    <mergeCell ref="C77:D77"/>
    <mergeCell ref="C81:D81"/>
    <mergeCell ref="B47:E47"/>
    <mergeCell ref="C13:D13"/>
    <mergeCell ref="C15:D15"/>
    <mergeCell ref="C16:D16"/>
    <mergeCell ref="B17:D17"/>
    <mergeCell ref="A24:H24"/>
    <mergeCell ref="A22:H22"/>
    <mergeCell ref="C14:D14"/>
    <mergeCell ref="A1:H1"/>
    <mergeCell ref="A2:H2"/>
    <mergeCell ref="A3:H3"/>
    <mergeCell ref="C11:D11"/>
    <mergeCell ref="C12:D12"/>
    <mergeCell ref="B10:C10"/>
    <mergeCell ref="A4:H4"/>
    <mergeCell ref="A5:H5"/>
    <mergeCell ref="A9:H9"/>
    <mergeCell ref="B49:G49"/>
    <mergeCell ref="B48:G48"/>
    <mergeCell ref="B51:G51"/>
    <mergeCell ref="B66:G66"/>
    <mergeCell ref="E62:F62"/>
    <mergeCell ref="B50:G50"/>
    <mergeCell ref="E60:F60"/>
    <mergeCell ref="E59:F59"/>
    <mergeCell ref="B56:G56"/>
    <mergeCell ref="E61:F61"/>
    <mergeCell ref="A57:H57"/>
    <mergeCell ref="B52:G52"/>
    <mergeCell ref="B53:G53"/>
    <mergeCell ref="B54:G54"/>
    <mergeCell ref="B55:G55"/>
    <mergeCell ref="E63:F63"/>
    <mergeCell ref="E67:F67"/>
    <mergeCell ref="F77:G77"/>
    <mergeCell ref="C80:D80"/>
    <mergeCell ref="F80:G80"/>
    <mergeCell ref="C78:D78"/>
    <mergeCell ref="F78:G78"/>
    <mergeCell ref="C79:D79"/>
    <mergeCell ref="F79:G79"/>
    <mergeCell ref="E68:F68"/>
    <mergeCell ref="E69:F69"/>
    <mergeCell ref="E70:F70"/>
    <mergeCell ref="E71:F71"/>
    <mergeCell ref="B113:C113"/>
    <mergeCell ref="B106:C106"/>
    <mergeCell ref="B107:C107"/>
    <mergeCell ref="B111:C111"/>
    <mergeCell ref="B110:C110"/>
    <mergeCell ref="B109:C109"/>
    <mergeCell ref="B112:C112"/>
    <mergeCell ref="B108:C108"/>
    <mergeCell ref="B105:C105"/>
    <mergeCell ref="A85:H85"/>
    <mergeCell ref="A104:H104"/>
    <mergeCell ref="A83:H83"/>
    <mergeCell ref="B101:C101"/>
    <mergeCell ref="B93:C93"/>
    <mergeCell ref="B95:C95"/>
    <mergeCell ref="B96:C96"/>
    <mergeCell ref="B94:C94"/>
    <mergeCell ref="B102:C102"/>
    <mergeCell ref="A87:H87"/>
    <mergeCell ref="B88:C88"/>
    <mergeCell ref="B90:C90"/>
    <mergeCell ref="B91:C91"/>
    <mergeCell ref="B99:C99"/>
    <mergeCell ref="B100:C100"/>
  </mergeCells>
  <pageMargins left="0.75" right="0.25" top="0.75" bottom="0.75" header="0.3" footer="0.3"/>
  <pageSetup scale="77" fitToHeight="0" orientation="portrait" r:id="rId1"/>
  <headerFooter>
    <oddFooter>&amp;CPage #&amp;P of &amp;N</oddFooter>
  </headerFooter>
  <rowBreaks count="2" manualBreakCount="2">
    <brk id="32" max="7" man="1"/>
    <brk id="56"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U2639"/>
  <sheetViews>
    <sheetView topLeftCell="A621" workbookViewId="0">
      <selection activeCell="G636" sqref="G636"/>
    </sheetView>
  </sheetViews>
  <sheetFormatPr defaultRowHeight="14.25" x14ac:dyDescent="0.2"/>
  <cols>
    <col min="1" max="1" width="24.625" style="349" bestFit="1" customWidth="1"/>
    <col min="2" max="2" width="9" style="333"/>
    <col min="3" max="3" width="17.75" bestFit="1" customWidth="1"/>
    <col min="5" max="6" width="9.875" bestFit="1" customWidth="1"/>
    <col min="7" max="7" width="15" bestFit="1" customWidth="1"/>
    <col min="8" max="8" width="9.75" bestFit="1" customWidth="1"/>
    <col min="11" max="11" width="11" bestFit="1" customWidth="1"/>
    <col min="12" max="12" width="13.25" bestFit="1" customWidth="1"/>
    <col min="13" max="13" width="19.125" customWidth="1"/>
    <col min="14" max="14" width="17.375" bestFit="1" customWidth="1"/>
  </cols>
  <sheetData>
    <row r="3" spans="1:2" ht="15" thickBot="1" x14ac:dyDescent="0.25">
      <c r="A3" s="346" t="s">
        <v>253</v>
      </c>
      <c r="B3" s="330" t="s">
        <v>254</v>
      </c>
    </row>
    <row r="4" spans="1:2" ht="15" thickTop="1" x14ac:dyDescent="0.2">
      <c r="A4" s="347">
        <v>42370</v>
      </c>
      <c r="B4" s="331">
        <v>316020.78000000003</v>
      </c>
    </row>
    <row r="5" spans="1:2" x14ac:dyDescent="0.2">
      <c r="A5" s="348">
        <v>42373</v>
      </c>
      <c r="B5" s="332">
        <v>315970.78000000003</v>
      </c>
    </row>
    <row r="6" spans="1:2" x14ac:dyDescent="0.2">
      <c r="A6" s="348">
        <v>42374</v>
      </c>
      <c r="B6" s="332">
        <v>320557.63</v>
      </c>
    </row>
    <row r="7" spans="1:2" x14ac:dyDescent="0.2">
      <c r="A7" s="348">
        <v>42375</v>
      </c>
      <c r="B7" s="332">
        <f>B6</f>
        <v>320557.63</v>
      </c>
    </row>
    <row r="8" spans="1:2" x14ac:dyDescent="0.2">
      <c r="A8" s="348">
        <v>42376</v>
      </c>
      <c r="B8" s="332">
        <v>323108.86</v>
      </c>
    </row>
    <row r="9" spans="1:2" x14ac:dyDescent="0.2">
      <c r="A9" s="348">
        <v>42377</v>
      </c>
      <c r="B9" s="332">
        <f>B8</f>
        <v>323108.86</v>
      </c>
    </row>
    <row r="10" spans="1:2" x14ac:dyDescent="0.2">
      <c r="A10" s="348">
        <v>42380</v>
      </c>
      <c r="B10" s="332">
        <v>323239.86</v>
      </c>
    </row>
    <row r="11" spans="1:2" x14ac:dyDescent="0.2">
      <c r="A11" s="348">
        <v>42381</v>
      </c>
      <c r="B11" s="332">
        <v>288792.71999999997</v>
      </c>
    </row>
    <row r="12" spans="1:2" x14ac:dyDescent="0.2">
      <c r="A12" s="348">
        <v>42382</v>
      </c>
      <c r="B12" s="332">
        <f>B11</f>
        <v>288792.71999999997</v>
      </c>
    </row>
    <row r="13" spans="1:2" x14ac:dyDescent="0.2">
      <c r="A13" s="348">
        <v>42383</v>
      </c>
      <c r="B13" s="332">
        <v>277881.3</v>
      </c>
    </row>
    <row r="14" spans="1:2" x14ac:dyDescent="0.2">
      <c r="A14" s="348">
        <v>42384</v>
      </c>
      <c r="B14" s="332">
        <v>293922.15000000002</v>
      </c>
    </row>
    <row r="15" spans="1:2" x14ac:dyDescent="0.2">
      <c r="A15" s="348">
        <v>42387</v>
      </c>
      <c r="B15" s="332">
        <f>B14</f>
        <v>293922.15000000002</v>
      </c>
    </row>
    <row r="16" spans="1:2" x14ac:dyDescent="0.2">
      <c r="A16" s="348">
        <v>42388</v>
      </c>
      <c r="B16" s="332">
        <f>B14</f>
        <v>293922.15000000002</v>
      </c>
    </row>
    <row r="17" spans="1:2" x14ac:dyDescent="0.2">
      <c r="A17" s="348">
        <v>42389</v>
      </c>
      <c r="B17" s="332">
        <v>294002.2</v>
      </c>
    </row>
    <row r="18" spans="1:2" x14ac:dyDescent="0.2">
      <c r="A18" s="348">
        <v>42390</v>
      </c>
      <c r="B18" s="332">
        <v>285645.33</v>
      </c>
    </row>
    <row r="19" spans="1:2" x14ac:dyDescent="0.2">
      <c r="A19" s="348">
        <v>42391</v>
      </c>
      <c r="B19" s="332">
        <f>B18</f>
        <v>285645.33</v>
      </c>
    </row>
    <row r="20" spans="1:2" x14ac:dyDescent="0.2">
      <c r="A20" s="348">
        <v>42394</v>
      </c>
      <c r="B20" s="332">
        <v>310939.57</v>
      </c>
    </row>
    <row r="21" spans="1:2" x14ac:dyDescent="0.2">
      <c r="A21" s="348">
        <v>42395</v>
      </c>
      <c r="B21" s="332">
        <v>285520.28000000003</v>
      </c>
    </row>
    <row r="22" spans="1:2" x14ac:dyDescent="0.2">
      <c r="A22" s="348">
        <v>42396</v>
      </c>
      <c r="B22" s="332">
        <f>B21</f>
        <v>285520.28000000003</v>
      </c>
    </row>
    <row r="23" spans="1:2" x14ac:dyDescent="0.2">
      <c r="A23" s="348">
        <v>42397</v>
      </c>
      <c r="B23" s="332">
        <v>282022.58</v>
      </c>
    </row>
    <row r="24" spans="1:2" x14ac:dyDescent="0.2">
      <c r="A24" s="348">
        <v>42398</v>
      </c>
      <c r="B24" s="332">
        <v>294848.15999999997</v>
      </c>
    </row>
    <row r="25" spans="1:2" x14ac:dyDescent="0.2">
      <c r="A25" s="348">
        <v>42401</v>
      </c>
      <c r="B25" s="332">
        <v>295971.7</v>
      </c>
    </row>
    <row r="26" spans="1:2" x14ac:dyDescent="0.2">
      <c r="A26" s="348">
        <v>42402</v>
      </c>
      <c r="B26" s="332">
        <v>342700.41</v>
      </c>
    </row>
    <row r="27" spans="1:2" x14ac:dyDescent="0.2">
      <c r="A27" s="348">
        <v>42403</v>
      </c>
      <c r="B27" s="332">
        <f>B26</f>
        <v>342700.41</v>
      </c>
    </row>
    <row r="28" spans="1:2" x14ac:dyDescent="0.2">
      <c r="A28" s="348">
        <v>42404</v>
      </c>
      <c r="B28" s="332">
        <v>337638.63</v>
      </c>
    </row>
    <row r="29" spans="1:2" x14ac:dyDescent="0.2">
      <c r="A29" s="348">
        <v>42405</v>
      </c>
      <c r="B29" s="332">
        <v>367843.39</v>
      </c>
    </row>
    <row r="30" spans="1:2" x14ac:dyDescent="0.2">
      <c r="A30" s="348">
        <v>42408</v>
      </c>
      <c r="B30" s="332">
        <v>367773.39</v>
      </c>
    </row>
    <row r="31" spans="1:2" x14ac:dyDescent="0.2">
      <c r="A31" s="348">
        <v>42409</v>
      </c>
      <c r="B31" s="332">
        <v>339527.33</v>
      </c>
    </row>
    <row r="32" spans="1:2" x14ac:dyDescent="0.2">
      <c r="A32" s="348">
        <v>42410</v>
      </c>
      <c r="B32" s="332">
        <f>B31</f>
        <v>339527.33</v>
      </c>
    </row>
    <row r="33" spans="1:2" x14ac:dyDescent="0.2">
      <c r="A33" s="348">
        <v>42411</v>
      </c>
      <c r="B33" s="332">
        <v>336968.79</v>
      </c>
    </row>
    <row r="34" spans="1:2" x14ac:dyDescent="0.2">
      <c r="A34" s="348">
        <v>42412</v>
      </c>
      <c r="B34" s="332">
        <v>337055.76</v>
      </c>
    </row>
    <row r="35" spans="1:2" x14ac:dyDescent="0.2">
      <c r="A35" s="348">
        <v>42415</v>
      </c>
      <c r="B35" s="332">
        <f>B34</f>
        <v>337055.76</v>
      </c>
    </row>
    <row r="36" spans="1:2" x14ac:dyDescent="0.2">
      <c r="A36" s="348">
        <v>42416</v>
      </c>
      <c r="B36" s="332">
        <f>B35</f>
        <v>337055.76</v>
      </c>
    </row>
    <row r="37" spans="1:2" x14ac:dyDescent="0.2">
      <c r="A37" s="348">
        <v>42417</v>
      </c>
      <c r="B37" s="332">
        <v>365266.06</v>
      </c>
    </row>
    <row r="38" spans="1:2" x14ac:dyDescent="0.2">
      <c r="A38" s="348">
        <v>42418</v>
      </c>
      <c r="B38" s="332">
        <v>360871.98</v>
      </c>
    </row>
    <row r="39" spans="1:2" x14ac:dyDescent="0.2">
      <c r="A39" s="348">
        <v>42419</v>
      </c>
      <c r="B39" s="332">
        <f>B38</f>
        <v>360871.98</v>
      </c>
    </row>
    <row r="40" spans="1:2" x14ac:dyDescent="0.2">
      <c r="A40" s="348">
        <v>42421</v>
      </c>
      <c r="B40" s="332">
        <f>B39</f>
        <v>360871.98</v>
      </c>
    </row>
    <row r="41" spans="1:2" x14ac:dyDescent="0.2">
      <c r="A41" s="348">
        <v>42423</v>
      </c>
      <c r="B41" s="332">
        <v>355845.62</v>
      </c>
    </row>
    <row r="42" spans="1:2" x14ac:dyDescent="0.2">
      <c r="A42" s="348">
        <v>42424</v>
      </c>
      <c r="B42" s="332">
        <f>B41</f>
        <v>355845.62</v>
      </c>
    </row>
    <row r="43" spans="1:2" x14ac:dyDescent="0.2">
      <c r="A43" s="348">
        <v>42425</v>
      </c>
      <c r="B43" s="332">
        <v>345399.7</v>
      </c>
    </row>
    <row r="44" spans="1:2" x14ac:dyDescent="0.2">
      <c r="A44" s="348">
        <v>42426</v>
      </c>
      <c r="B44" s="332">
        <v>370500.69</v>
      </c>
    </row>
    <row r="45" spans="1:2" x14ac:dyDescent="0.2">
      <c r="A45" s="348">
        <v>42429</v>
      </c>
      <c r="B45" s="332">
        <v>389846.49</v>
      </c>
    </row>
    <row r="46" spans="1:2" x14ac:dyDescent="0.2">
      <c r="A46" s="348">
        <v>42430</v>
      </c>
      <c r="B46" s="332">
        <f>B45</f>
        <v>389846.49</v>
      </c>
    </row>
    <row r="47" spans="1:2" x14ac:dyDescent="0.2">
      <c r="A47" s="348">
        <v>42431</v>
      </c>
      <c r="B47" s="332">
        <f>B46</f>
        <v>389846.49</v>
      </c>
    </row>
    <row r="48" spans="1:2" x14ac:dyDescent="0.2">
      <c r="A48" s="348">
        <v>42432</v>
      </c>
      <c r="B48" s="332">
        <v>378391.97</v>
      </c>
    </row>
    <row r="49" spans="1:2" x14ac:dyDescent="0.2">
      <c r="A49" s="348">
        <v>42433</v>
      </c>
      <c r="B49" s="332">
        <v>424034.23</v>
      </c>
    </row>
    <row r="50" spans="1:2" x14ac:dyDescent="0.2">
      <c r="A50" s="348">
        <v>42436</v>
      </c>
      <c r="B50" s="332">
        <f>B49</f>
        <v>424034.23</v>
      </c>
    </row>
    <row r="51" spans="1:2" x14ac:dyDescent="0.2">
      <c r="A51" s="348">
        <v>42437</v>
      </c>
      <c r="B51" s="332">
        <v>386665.73</v>
      </c>
    </row>
    <row r="52" spans="1:2" x14ac:dyDescent="0.2">
      <c r="A52" s="348">
        <v>42438</v>
      </c>
      <c r="B52" s="332">
        <f>B51</f>
        <v>386665.73</v>
      </c>
    </row>
    <row r="53" spans="1:2" x14ac:dyDescent="0.2">
      <c r="A53" s="348">
        <v>42439</v>
      </c>
      <c r="B53" s="332">
        <v>389219.85</v>
      </c>
    </row>
    <row r="54" spans="1:2" x14ac:dyDescent="0.2">
      <c r="A54" s="348">
        <v>42440</v>
      </c>
      <c r="B54" s="332">
        <v>406100.98</v>
      </c>
    </row>
    <row r="55" spans="1:2" x14ac:dyDescent="0.2">
      <c r="A55" s="348">
        <v>42443</v>
      </c>
      <c r="B55" s="332">
        <v>407873.33</v>
      </c>
    </row>
    <row r="56" spans="1:2" x14ac:dyDescent="0.2">
      <c r="A56" s="348">
        <v>42444</v>
      </c>
      <c r="B56" s="332">
        <v>407992.23</v>
      </c>
    </row>
    <row r="57" spans="1:2" x14ac:dyDescent="0.2">
      <c r="A57" s="348">
        <v>42445</v>
      </c>
      <c r="B57" s="332">
        <v>433808.81</v>
      </c>
    </row>
    <row r="58" spans="1:2" x14ac:dyDescent="0.2">
      <c r="A58" s="348">
        <v>42446</v>
      </c>
      <c r="B58" s="332">
        <v>422290.94</v>
      </c>
    </row>
    <row r="59" spans="1:2" x14ac:dyDescent="0.2">
      <c r="A59" s="348">
        <v>42447</v>
      </c>
      <c r="B59" s="332">
        <v>468026.54</v>
      </c>
    </row>
    <row r="60" spans="1:2" x14ac:dyDescent="0.2">
      <c r="A60" s="348">
        <v>42450</v>
      </c>
      <c r="B60" s="332">
        <v>348026.54</v>
      </c>
    </row>
    <row r="61" spans="1:2" x14ac:dyDescent="0.2">
      <c r="A61" s="348">
        <v>42451</v>
      </c>
      <c r="B61" s="332">
        <v>312876.71000000002</v>
      </c>
    </row>
    <row r="62" spans="1:2" x14ac:dyDescent="0.2">
      <c r="A62" s="348">
        <v>42452</v>
      </c>
      <c r="B62" s="332">
        <v>314939.26</v>
      </c>
    </row>
    <row r="63" spans="1:2" x14ac:dyDescent="0.2">
      <c r="A63" s="348">
        <v>42453</v>
      </c>
      <c r="B63" s="332">
        <v>309254.23</v>
      </c>
    </row>
    <row r="64" spans="1:2" x14ac:dyDescent="0.2">
      <c r="A64" s="348">
        <v>42454</v>
      </c>
      <c r="B64" s="332">
        <v>308314.94</v>
      </c>
    </row>
    <row r="65" spans="1:2" x14ac:dyDescent="0.2">
      <c r="A65" s="348">
        <v>42457</v>
      </c>
      <c r="B65" s="332">
        <f>B64</f>
        <v>308314.94</v>
      </c>
    </row>
    <row r="66" spans="1:2" x14ac:dyDescent="0.2">
      <c r="A66" s="348">
        <v>42458</v>
      </c>
      <c r="B66" s="332">
        <v>308501.75</v>
      </c>
    </row>
    <row r="67" spans="1:2" x14ac:dyDescent="0.2">
      <c r="A67" s="348">
        <v>42459</v>
      </c>
      <c r="B67" s="332">
        <f>B66</f>
        <v>308501.75</v>
      </c>
    </row>
    <row r="68" spans="1:2" x14ac:dyDescent="0.2">
      <c r="A68" s="348">
        <v>42460</v>
      </c>
      <c r="B68" s="332">
        <v>309191.53000000003</v>
      </c>
    </row>
    <row r="69" spans="1:2" x14ac:dyDescent="0.2">
      <c r="A69" s="348">
        <v>42461</v>
      </c>
      <c r="B69" s="332">
        <f>B68</f>
        <v>309191.53000000003</v>
      </c>
    </row>
    <row r="70" spans="1:2" x14ac:dyDescent="0.2">
      <c r="A70" s="348">
        <v>42464</v>
      </c>
      <c r="B70" s="332">
        <v>273521.59999999998</v>
      </c>
    </row>
    <row r="71" spans="1:2" x14ac:dyDescent="0.2">
      <c r="A71" s="348">
        <v>42465</v>
      </c>
      <c r="B71" s="332">
        <f>B70</f>
        <v>273521.59999999998</v>
      </c>
    </row>
    <row r="72" spans="1:2" x14ac:dyDescent="0.2">
      <c r="A72" s="348">
        <v>42466</v>
      </c>
      <c r="B72" s="332">
        <v>272690.59999999998</v>
      </c>
    </row>
    <row r="73" spans="1:2" x14ac:dyDescent="0.2">
      <c r="A73" s="348">
        <v>42467</v>
      </c>
      <c r="B73" s="332">
        <v>269582.73</v>
      </c>
    </row>
    <row r="74" spans="1:2" x14ac:dyDescent="0.2">
      <c r="A74" s="348">
        <v>42468</v>
      </c>
      <c r="B74" s="332">
        <f>B73</f>
        <v>269582.73</v>
      </c>
    </row>
    <row r="75" spans="1:2" x14ac:dyDescent="0.2">
      <c r="A75" s="348">
        <v>42471</v>
      </c>
      <c r="B75" s="332">
        <v>269763.98</v>
      </c>
    </row>
    <row r="76" spans="1:2" x14ac:dyDescent="0.2">
      <c r="A76" s="348">
        <v>42472</v>
      </c>
      <c r="B76" s="332">
        <f>B75</f>
        <v>269763.98</v>
      </c>
    </row>
    <row r="77" spans="1:2" x14ac:dyDescent="0.2">
      <c r="A77" s="348">
        <v>42473</v>
      </c>
      <c r="B77" s="332">
        <v>269925.98</v>
      </c>
    </row>
    <row r="78" spans="1:2" x14ac:dyDescent="0.2">
      <c r="A78" s="348">
        <v>42474</v>
      </c>
      <c r="B78" s="332">
        <v>262853.87</v>
      </c>
    </row>
    <row r="79" spans="1:2" x14ac:dyDescent="0.2">
      <c r="A79" s="348">
        <v>42475</v>
      </c>
      <c r="B79" s="332">
        <v>285492.90999999997</v>
      </c>
    </row>
    <row r="80" spans="1:2" x14ac:dyDescent="0.2">
      <c r="A80" s="348">
        <v>42478</v>
      </c>
      <c r="B80" s="332">
        <v>248936.49</v>
      </c>
    </row>
    <row r="81" spans="1:2" x14ac:dyDescent="0.2">
      <c r="A81" s="348">
        <v>42479</v>
      </c>
      <c r="B81" s="332">
        <v>299276.93</v>
      </c>
    </row>
    <row r="82" spans="1:2" x14ac:dyDescent="0.2">
      <c r="A82" s="348">
        <v>42480</v>
      </c>
      <c r="B82" s="332">
        <v>298671.93</v>
      </c>
    </row>
    <row r="83" spans="1:2" x14ac:dyDescent="0.2">
      <c r="A83" s="348">
        <v>42481</v>
      </c>
      <c r="B83" s="332">
        <v>300188.76</v>
      </c>
    </row>
    <row r="84" spans="1:2" x14ac:dyDescent="0.2">
      <c r="A84" s="348">
        <v>42482</v>
      </c>
      <c r="B84" s="332">
        <v>320014.86</v>
      </c>
    </row>
    <row r="85" spans="1:2" x14ac:dyDescent="0.2">
      <c r="A85" s="348">
        <v>42485</v>
      </c>
      <c r="B85" s="332">
        <v>316702.44</v>
      </c>
    </row>
    <row r="86" spans="1:2" x14ac:dyDescent="0.2">
      <c r="A86" s="348">
        <v>42486</v>
      </c>
      <c r="B86" s="332">
        <f>B85</f>
        <v>316702.44</v>
      </c>
    </row>
    <row r="87" spans="1:2" x14ac:dyDescent="0.2">
      <c r="A87" s="348">
        <v>42487</v>
      </c>
      <c r="B87" s="332">
        <v>316945.44</v>
      </c>
    </row>
    <row r="88" spans="1:2" x14ac:dyDescent="0.2">
      <c r="A88" s="348">
        <v>42488</v>
      </c>
      <c r="B88" s="332">
        <v>320979.96999999997</v>
      </c>
    </row>
    <row r="89" spans="1:2" x14ac:dyDescent="0.2">
      <c r="A89" s="348">
        <v>42489</v>
      </c>
      <c r="B89" s="332">
        <f>B88</f>
        <v>320979.96999999997</v>
      </c>
    </row>
    <row r="90" spans="1:2" x14ac:dyDescent="0.2">
      <c r="A90" s="348">
        <v>42492</v>
      </c>
      <c r="B90" s="332">
        <v>285992.84000000003</v>
      </c>
    </row>
    <row r="91" spans="1:2" x14ac:dyDescent="0.2">
      <c r="A91" s="348">
        <v>42493</v>
      </c>
      <c r="B91" s="332">
        <v>286063.08</v>
      </c>
    </row>
    <row r="92" spans="1:2" x14ac:dyDescent="0.2">
      <c r="A92" s="348">
        <v>42494</v>
      </c>
      <c r="B92" s="332">
        <v>314586.46000000002</v>
      </c>
    </row>
    <row r="93" spans="1:2" x14ac:dyDescent="0.2">
      <c r="A93" s="348">
        <v>42495</v>
      </c>
      <c r="B93" s="332">
        <v>317747.52</v>
      </c>
    </row>
    <row r="94" spans="1:2" x14ac:dyDescent="0.2">
      <c r="A94" s="348">
        <v>42496</v>
      </c>
      <c r="B94" s="332">
        <f>B93</f>
        <v>317747.52</v>
      </c>
    </row>
    <row r="95" spans="1:2" x14ac:dyDescent="0.2">
      <c r="A95" s="348">
        <v>42499</v>
      </c>
      <c r="B95" s="332">
        <v>317647.52</v>
      </c>
    </row>
    <row r="96" spans="1:2" x14ac:dyDescent="0.2">
      <c r="A96" s="348">
        <v>42500</v>
      </c>
      <c r="B96" s="332">
        <v>354645.16</v>
      </c>
    </row>
    <row r="97" spans="1:2" x14ac:dyDescent="0.2">
      <c r="A97" s="348">
        <v>42501</v>
      </c>
      <c r="B97" s="332">
        <f>B96</f>
        <v>354645.16</v>
      </c>
    </row>
    <row r="98" spans="1:2" x14ac:dyDescent="0.2">
      <c r="A98" s="348">
        <v>42502</v>
      </c>
      <c r="B98" s="332">
        <v>334676.08</v>
      </c>
    </row>
    <row r="99" spans="1:2" x14ac:dyDescent="0.2">
      <c r="A99" s="348">
        <v>42503</v>
      </c>
      <c r="B99" s="332">
        <v>335053.34999999998</v>
      </c>
    </row>
    <row r="100" spans="1:2" x14ac:dyDescent="0.2">
      <c r="A100" s="348">
        <v>42506</v>
      </c>
      <c r="B100" s="332">
        <v>299641.7</v>
      </c>
    </row>
    <row r="101" spans="1:2" x14ac:dyDescent="0.2">
      <c r="A101" s="348">
        <v>42507</v>
      </c>
      <c r="B101" s="332">
        <f>B100</f>
        <v>299641.7</v>
      </c>
    </row>
    <row r="102" spans="1:2" x14ac:dyDescent="0.2">
      <c r="A102" s="348">
        <v>42508</v>
      </c>
      <c r="B102" s="332">
        <v>316034.81</v>
      </c>
    </row>
    <row r="103" spans="1:2" x14ac:dyDescent="0.2">
      <c r="A103" s="348">
        <v>42509</v>
      </c>
      <c r="B103" s="332">
        <v>320069.11</v>
      </c>
    </row>
    <row r="104" spans="1:2" x14ac:dyDescent="0.2">
      <c r="A104" s="348">
        <v>42510</v>
      </c>
      <c r="B104" s="332">
        <v>328514.03000000003</v>
      </c>
    </row>
    <row r="105" spans="1:2" x14ac:dyDescent="0.2">
      <c r="A105" s="348">
        <v>42513</v>
      </c>
      <c r="B105" s="332">
        <f>B104</f>
        <v>328514.03000000003</v>
      </c>
    </row>
    <row r="106" spans="1:2" x14ac:dyDescent="0.2">
      <c r="A106" s="348">
        <v>42514</v>
      </c>
      <c r="B106" s="332">
        <v>334541.26</v>
      </c>
    </row>
    <row r="107" spans="1:2" x14ac:dyDescent="0.2">
      <c r="A107" s="348">
        <v>42515</v>
      </c>
      <c r="B107" s="332">
        <v>329880.45</v>
      </c>
    </row>
    <row r="108" spans="1:2" x14ac:dyDescent="0.2">
      <c r="A108" s="348">
        <v>42516</v>
      </c>
      <c r="B108" s="333">
        <v>337992.17</v>
      </c>
    </row>
    <row r="109" spans="1:2" x14ac:dyDescent="0.2">
      <c r="A109" s="348">
        <v>42517</v>
      </c>
      <c r="B109" s="333">
        <v>347755.4</v>
      </c>
    </row>
    <row r="110" spans="1:2" x14ac:dyDescent="0.2">
      <c r="A110" s="348">
        <v>42520</v>
      </c>
      <c r="B110" s="333">
        <v>347755.4</v>
      </c>
    </row>
    <row r="111" spans="1:2" x14ac:dyDescent="0.2">
      <c r="A111" s="348">
        <v>42521</v>
      </c>
      <c r="B111" s="333">
        <v>312817.88</v>
      </c>
    </row>
    <row r="112" spans="1:2" x14ac:dyDescent="0.2">
      <c r="A112" s="348">
        <v>42522</v>
      </c>
      <c r="B112" s="333">
        <v>314571.3</v>
      </c>
    </row>
    <row r="113" spans="1:2" x14ac:dyDescent="0.2">
      <c r="A113" s="348">
        <v>42523</v>
      </c>
      <c r="B113" s="333">
        <v>302515.78000000003</v>
      </c>
    </row>
    <row r="114" spans="1:2" x14ac:dyDescent="0.2">
      <c r="A114" s="348">
        <v>42524</v>
      </c>
      <c r="B114" s="333">
        <v>302516</v>
      </c>
    </row>
    <row r="115" spans="1:2" x14ac:dyDescent="0.2">
      <c r="A115" s="348">
        <v>42527</v>
      </c>
      <c r="B115" s="333">
        <v>302516</v>
      </c>
    </row>
    <row r="116" spans="1:2" x14ac:dyDescent="0.2">
      <c r="A116" s="348">
        <v>42528</v>
      </c>
      <c r="B116" s="333">
        <v>302516</v>
      </c>
    </row>
    <row r="117" spans="1:2" x14ac:dyDescent="0.2">
      <c r="A117" s="348">
        <v>42529</v>
      </c>
      <c r="B117" s="333">
        <v>279865.95</v>
      </c>
    </row>
    <row r="118" spans="1:2" x14ac:dyDescent="0.2">
      <c r="A118" s="348">
        <v>42530</v>
      </c>
      <c r="B118" s="333">
        <v>279866</v>
      </c>
    </row>
    <row r="119" spans="1:2" x14ac:dyDescent="0.2">
      <c r="A119" s="348">
        <v>42531</v>
      </c>
      <c r="B119" s="333">
        <v>279866</v>
      </c>
    </row>
    <row r="120" spans="1:2" x14ac:dyDescent="0.2">
      <c r="A120" s="348">
        <v>42534</v>
      </c>
      <c r="B120" s="333">
        <v>279866</v>
      </c>
    </row>
    <row r="121" spans="1:2" x14ac:dyDescent="0.2">
      <c r="A121" s="348">
        <v>42535</v>
      </c>
      <c r="B121" s="333">
        <v>279866</v>
      </c>
    </row>
    <row r="122" spans="1:2" x14ac:dyDescent="0.2">
      <c r="A122" s="348">
        <v>42536</v>
      </c>
      <c r="B122" s="333">
        <v>290096.01</v>
      </c>
    </row>
    <row r="123" spans="1:2" x14ac:dyDescent="0.2">
      <c r="A123" s="348">
        <v>42537</v>
      </c>
      <c r="B123" s="333">
        <v>247423.5</v>
      </c>
    </row>
    <row r="124" spans="1:2" x14ac:dyDescent="0.2">
      <c r="A124" s="348">
        <v>42538</v>
      </c>
      <c r="B124" s="333">
        <v>247424</v>
      </c>
    </row>
    <row r="125" spans="1:2" x14ac:dyDescent="0.2">
      <c r="A125" s="348">
        <v>42541</v>
      </c>
      <c r="B125" s="333">
        <v>247424</v>
      </c>
    </row>
    <row r="126" spans="1:2" x14ac:dyDescent="0.2">
      <c r="A126" s="348">
        <v>42542</v>
      </c>
      <c r="B126" s="333">
        <v>255459.85</v>
      </c>
    </row>
    <row r="127" spans="1:2" x14ac:dyDescent="0.2">
      <c r="A127" s="348">
        <v>42543</v>
      </c>
      <c r="B127" s="333">
        <v>255460</v>
      </c>
    </row>
    <row r="128" spans="1:2" x14ac:dyDescent="0.2">
      <c r="A128" s="334">
        <f>A127+1</f>
        <v>42544</v>
      </c>
      <c r="B128" s="333">
        <v>240780.4</v>
      </c>
    </row>
    <row r="129" spans="1:2" x14ac:dyDescent="0.2">
      <c r="A129" s="334">
        <f>A128+1</f>
        <v>42545</v>
      </c>
      <c r="B129" s="333">
        <v>240780</v>
      </c>
    </row>
    <row r="130" spans="1:2" x14ac:dyDescent="0.2">
      <c r="A130" s="334">
        <f>A125+7</f>
        <v>42548</v>
      </c>
      <c r="B130" s="333">
        <v>205735.12</v>
      </c>
    </row>
    <row r="131" spans="1:2" x14ac:dyDescent="0.2">
      <c r="A131" s="334">
        <f>A126+7</f>
        <v>42549</v>
      </c>
      <c r="B131" s="333">
        <v>207489.37</v>
      </c>
    </row>
    <row r="132" spans="1:2" x14ac:dyDescent="0.2">
      <c r="A132" s="334">
        <f t="shared" ref="A132:A195" si="0">A127+7</f>
        <v>42550</v>
      </c>
      <c r="B132" s="333">
        <v>213757.9</v>
      </c>
    </row>
    <row r="133" spans="1:2" x14ac:dyDescent="0.2">
      <c r="A133" s="334">
        <f t="shared" si="0"/>
        <v>42551</v>
      </c>
      <c r="B133" s="333">
        <v>220332.56</v>
      </c>
    </row>
    <row r="134" spans="1:2" x14ac:dyDescent="0.2">
      <c r="A134" s="334">
        <f t="shared" si="0"/>
        <v>42552</v>
      </c>
      <c r="B134" s="333">
        <v>212813.84</v>
      </c>
    </row>
    <row r="135" spans="1:2" x14ac:dyDescent="0.2">
      <c r="A135" s="334">
        <f t="shared" si="0"/>
        <v>42555</v>
      </c>
      <c r="B135" s="333">
        <v>212814</v>
      </c>
    </row>
    <row r="136" spans="1:2" x14ac:dyDescent="0.2">
      <c r="A136" s="334">
        <f t="shared" si="0"/>
        <v>42556</v>
      </c>
      <c r="B136" s="333">
        <v>236539.45</v>
      </c>
    </row>
    <row r="137" spans="1:2" x14ac:dyDescent="0.2">
      <c r="A137" s="334">
        <f t="shared" si="0"/>
        <v>42557</v>
      </c>
      <c r="B137" s="333">
        <v>234224.42</v>
      </c>
    </row>
    <row r="138" spans="1:2" x14ac:dyDescent="0.2">
      <c r="A138" s="334">
        <f t="shared" si="0"/>
        <v>42558</v>
      </c>
      <c r="B138" s="333">
        <v>234132.08</v>
      </c>
    </row>
    <row r="139" spans="1:2" x14ac:dyDescent="0.2">
      <c r="A139" s="334">
        <f t="shared" si="0"/>
        <v>42559</v>
      </c>
      <c r="B139" s="333">
        <v>234132.08</v>
      </c>
    </row>
    <row r="140" spans="1:2" x14ac:dyDescent="0.2">
      <c r="A140" s="334">
        <f t="shared" si="0"/>
        <v>42562</v>
      </c>
      <c r="B140" s="333">
        <v>199890.85</v>
      </c>
    </row>
    <row r="141" spans="1:2" x14ac:dyDescent="0.2">
      <c r="A141" s="334">
        <f t="shared" si="0"/>
        <v>42563</v>
      </c>
      <c r="B141" s="333">
        <v>221114.27</v>
      </c>
    </row>
    <row r="142" spans="1:2" x14ac:dyDescent="0.2">
      <c r="A142" s="334">
        <f t="shared" si="0"/>
        <v>42564</v>
      </c>
      <c r="B142" s="333">
        <v>221114</v>
      </c>
    </row>
    <row r="143" spans="1:2" x14ac:dyDescent="0.2">
      <c r="A143" s="334">
        <f t="shared" si="0"/>
        <v>42565</v>
      </c>
      <c r="B143" s="333">
        <v>214752.25</v>
      </c>
    </row>
    <row r="144" spans="1:2" x14ac:dyDescent="0.2">
      <c r="A144" s="334">
        <f t="shared" si="0"/>
        <v>42566</v>
      </c>
      <c r="B144" s="333">
        <v>294578.96999999997</v>
      </c>
    </row>
    <row r="145" spans="1:2" x14ac:dyDescent="0.2">
      <c r="A145" s="334">
        <f t="shared" si="0"/>
        <v>42569</v>
      </c>
      <c r="B145" s="333">
        <v>294579</v>
      </c>
    </row>
    <row r="146" spans="1:2" x14ac:dyDescent="0.2">
      <c r="A146" s="334">
        <f t="shared" si="0"/>
        <v>42570</v>
      </c>
      <c r="B146" s="333">
        <v>294579</v>
      </c>
    </row>
    <row r="147" spans="1:2" x14ac:dyDescent="0.2">
      <c r="A147" s="334">
        <f t="shared" si="0"/>
        <v>42571</v>
      </c>
      <c r="B147" s="333">
        <v>328195.42</v>
      </c>
    </row>
    <row r="148" spans="1:2" x14ac:dyDescent="0.2">
      <c r="A148" s="334">
        <f t="shared" si="0"/>
        <v>42572</v>
      </c>
      <c r="B148" s="333">
        <v>407865.86</v>
      </c>
    </row>
    <row r="149" spans="1:2" x14ac:dyDescent="0.2">
      <c r="A149" s="334">
        <f t="shared" si="0"/>
        <v>42573</v>
      </c>
      <c r="B149" s="333">
        <v>409053.93</v>
      </c>
    </row>
    <row r="150" spans="1:2" x14ac:dyDescent="0.2">
      <c r="A150" s="334">
        <f t="shared" si="0"/>
        <v>42576</v>
      </c>
      <c r="B150" s="333">
        <v>372421.56</v>
      </c>
    </row>
    <row r="151" spans="1:2" x14ac:dyDescent="0.2">
      <c r="A151" s="334">
        <f t="shared" si="0"/>
        <v>42577</v>
      </c>
      <c r="B151" s="333">
        <v>375562.78</v>
      </c>
    </row>
    <row r="152" spans="1:2" x14ac:dyDescent="0.2">
      <c r="A152" s="334">
        <f t="shared" si="0"/>
        <v>42578</v>
      </c>
      <c r="B152" s="333">
        <v>375563</v>
      </c>
    </row>
    <row r="153" spans="1:2" x14ac:dyDescent="0.2">
      <c r="A153" s="334">
        <f t="shared" si="0"/>
        <v>42579</v>
      </c>
      <c r="B153" s="333">
        <v>366510.98</v>
      </c>
    </row>
    <row r="154" spans="1:2" x14ac:dyDescent="0.2">
      <c r="A154" s="334">
        <f t="shared" si="0"/>
        <v>42580</v>
      </c>
      <c r="B154" s="333">
        <v>366609.48</v>
      </c>
    </row>
    <row r="155" spans="1:2" x14ac:dyDescent="0.2">
      <c r="A155" s="334">
        <f t="shared" si="0"/>
        <v>42583</v>
      </c>
      <c r="B155" s="333">
        <v>382689.69</v>
      </c>
    </row>
    <row r="156" spans="1:2" x14ac:dyDescent="0.2">
      <c r="A156" s="334">
        <f t="shared" si="0"/>
        <v>42584</v>
      </c>
      <c r="B156" s="333">
        <v>382690</v>
      </c>
    </row>
    <row r="157" spans="1:2" x14ac:dyDescent="0.2">
      <c r="A157" s="334">
        <f t="shared" si="0"/>
        <v>42585</v>
      </c>
      <c r="B157" s="333">
        <v>387013.59</v>
      </c>
    </row>
    <row r="158" spans="1:2" x14ac:dyDescent="0.2">
      <c r="A158" s="334">
        <f t="shared" si="0"/>
        <v>42586</v>
      </c>
      <c r="B158" s="333">
        <v>382543.7</v>
      </c>
    </row>
    <row r="159" spans="1:2" x14ac:dyDescent="0.2">
      <c r="A159" s="334">
        <f t="shared" si="0"/>
        <v>42587</v>
      </c>
      <c r="B159" s="333">
        <v>382544</v>
      </c>
    </row>
    <row r="160" spans="1:2" x14ac:dyDescent="0.2">
      <c r="A160" s="334">
        <f t="shared" si="0"/>
        <v>42590</v>
      </c>
      <c r="B160" s="333">
        <v>344510.17</v>
      </c>
    </row>
    <row r="161" spans="1:2" x14ac:dyDescent="0.2">
      <c r="A161" s="334">
        <f t="shared" si="0"/>
        <v>42591</v>
      </c>
      <c r="B161" s="333">
        <v>350095.94</v>
      </c>
    </row>
    <row r="162" spans="1:2" x14ac:dyDescent="0.2">
      <c r="A162" s="334">
        <f t="shared" si="0"/>
        <v>42592</v>
      </c>
      <c r="B162" s="333">
        <v>350096</v>
      </c>
    </row>
    <row r="163" spans="1:2" x14ac:dyDescent="0.2">
      <c r="A163" s="334">
        <f t="shared" si="0"/>
        <v>42593</v>
      </c>
      <c r="B163" s="333">
        <v>355079.15</v>
      </c>
    </row>
    <row r="164" spans="1:2" x14ac:dyDescent="0.2">
      <c r="A164" s="334">
        <f t="shared" si="0"/>
        <v>42594</v>
      </c>
      <c r="B164" s="333">
        <v>356502.11</v>
      </c>
    </row>
    <row r="165" spans="1:2" x14ac:dyDescent="0.2">
      <c r="A165" s="334">
        <f t="shared" si="0"/>
        <v>42597</v>
      </c>
      <c r="B165" s="333">
        <v>408622.46</v>
      </c>
    </row>
    <row r="166" spans="1:2" x14ac:dyDescent="0.2">
      <c r="A166" s="334">
        <f t="shared" si="0"/>
        <v>42598</v>
      </c>
      <c r="B166" s="333">
        <v>408622</v>
      </c>
    </row>
    <row r="167" spans="1:2" x14ac:dyDescent="0.2">
      <c r="A167" s="334">
        <f t="shared" si="0"/>
        <v>42599</v>
      </c>
      <c r="B167" s="333">
        <v>408622</v>
      </c>
    </row>
    <row r="168" spans="1:2" x14ac:dyDescent="0.2">
      <c r="A168" s="334">
        <f t="shared" si="0"/>
        <v>42600</v>
      </c>
      <c r="B168" s="333">
        <v>409931.67</v>
      </c>
    </row>
    <row r="169" spans="1:2" x14ac:dyDescent="0.2">
      <c r="A169" s="334">
        <f t="shared" si="0"/>
        <v>42601</v>
      </c>
      <c r="B169" s="333">
        <v>410189.3</v>
      </c>
    </row>
    <row r="170" spans="1:2" x14ac:dyDescent="0.2">
      <c r="A170" s="334">
        <f t="shared" si="0"/>
        <v>42604</v>
      </c>
      <c r="B170" s="333">
        <v>370399.56</v>
      </c>
    </row>
    <row r="171" spans="1:2" x14ac:dyDescent="0.2">
      <c r="A171" s="334">
        <f t="shared" si="0"/>
        <v>42605</v>
      </c>
      <c r="B171" s="333">
        <v>370399.56</v>
      </c>
    </row>
    <row r="172" spans="1:2" x14ac:dyDescent="0.2">
      <c r="A172" s="334">
        <f t="shared" si="0"/>
        <v>42606</v>
      </c>
      <c r="B172" s="333">
        <v>370400</v>
      </c>
    </row>
    <row r="173" spans="1:2" x14ac:dyDescent="0.2">
      <c r="A173" s="334">
        <f t="shared" si="0"/>
        <v>42607</v>
      </c>
      <c r="B173" s="333">
        <v>359591.19</v>
      </c>
    </row>
    <row r="174" spans="1:2" x14ac:dyDescent="0.2">
      <c r="A174" s="334">
        <f t="shared" si="0"/>
        <v>42608</v>
      </c>
      <c r="B174" s="333">
        <v>399163.14</v>
      </c>
    </row>
    <row r="175" spans="1:2" x14ac:dyDescent="0.2">
      <c r="A175" s="334">
        <f t="shared" si="0"/>
        <v>42611</v>
      </c>
      <c r="B175" s="333">
        <v>407196.62</v>
      </c>
    </row>
    <row r="176" spans="1:2" x14ac:dyDescent="0.2">
      <c r="A176" s="334">
        <f t="shared" si="0"/>
        <v>42612</v>
      </c>
      <c r="B176" s="333">
        <v>422526.97</v>
      </c>
    </row>
    <row r="177" spans="1:5" x14ac:dyDescent="0.2">
      <c r="A177" s="334">
        <f t="shared" si="0"/>
        <v>42613</v>
      </c>
      <c r="B177" s="333">
        <v>479216.05</v>
      </c>
    </row>
    <row r="178" spans="1:5" x14ac:dyDescent="0.2">
      <c r="A178" s="334">
        <f t="shared" si="0"/>
        <v>42614</v>
      </c>
      <c r="B178" s="333">
        <v>479216</v>
      </c>
    </row>
    <row r="179" spans="1:5" x14ac:dyDescent="0.2">
      <c r="A179" s="334">
        <f t="shared" si="0"/>
        <v>42615</v>
      </c>
      <c r="B179" s="333">
        <v>479216</v>
      </c>
    </row>
    <row r="180" spans="1:5" x14ac:dyDescent="0.2">
      <c r="A180" s="334">
        <f t="shared" si="0"/>
        <v>42618</v>
      </c>
      <c r="B180" s="333">
        <v>479216</v>
      </c>
    </row>
    <row r="181" spans="1:5" x14ac:dyDescent="0.2">
      <c r="A181" s="334">
        <f t="shared" si="0"/>
        <v>42619</v>
      </c>
      <c r="B181" s="333">
        <v>440784.82</v>
      </c>
    </row>
    <row r="182" spans="1:5" x14ac:dyDescent="0.2">
      <c r="A182" s="334">
        <f t="shared" si="0"/>
        <v>42620</v>
      </c>
      <c r="B182" s="333">
        <v>440785</v>
      </c>
      <c r="D182" s="320"/>
      <c r="E182" s="125"/>
    </row>
    <row r="183" spans="1:5" x14ac:dyDescent="0.2">
      <c r="A183" s="334">
        <f t="shared" si="0"/>
        <v>42621</v>
      </c>
      <c r="B183" s="333">
        <v>445373.31</v>
      </c>
    </row>
    <row r="184" spans="1:5" x14ac:dyDescent="0.2">
      <c r="A184" s="334">
        <f t="shared" si="0"/>
        <v>42622</v>
      </c>
      <c r="B184" s="333">
        <v>463896.46</v>
      </c>
      <c r="D184" s="320"/>
      <c r="E184" s="125"/>
    </row>
    <row r="185" spans="1:5" x14ac:dyDescent="0.2">
      <c r="A185" s="334">
        <f t="shared" si="0"/>
        <v>42625</v>
      </c>
      <c r="B185" s="333">
        <v>463296.46</v>
      </c>
      <c r="D185" s="320"/>
      <c r="E185" s="125"/>
    </row>
    <row r="186" spans="1:5" x14ac:dyDescent="0.2">
      <c r="A186" s="334">
        <f t="shared" si="0"/>
        <v>42626</v>
      </c>
      <c r="B186" s="333">
        <v>465024.54</v>
      </c>
      <c r="D186" s="320"/>
      <c r="E186" s="125"/>
    </row>
    <row r="187" spans="1:5" x14ac:dyDescent="0.2">
      <c r="A187" s="334">
        <f t="shared" si="0"/>
        <v>42627</v>
      </c>
      <c r="B187" s="333">
        <v>465025</v>
      </c>
      <c r="D187" s="320"/>
      <c r="E187" s="125"/>
    </row>
    <row r="188" spans="1:5" x14ac:dyDescent="0.2">
      <c r="A188" s="334">
        <f t="shared" si="0"/>
        <v>42628</v>
      </c>
      <c r="B188" s="333">
        <v>447444.34</v>
      </c>
      <c r="D188" s="320"/>
      <c r="E188" s="125"/>
    </row>
    <row r="189" spans="1:5" x14ac:dyDescent="0.2">
      <c r="A189" s="334">
        <f t="shared" si="0"/>
        <v>42629</v>
      </c>
      <c r="B189" s="333">
        <v>451135.42</v>
      </c>
      <c r="D189" s="320"/>
      <c r="E189" s="125"/>
    </row>
    <row r="190" spans="1:5" x14ac:dyDescent="0.2">
      <c r="A190" s="334">
        <f t="shared" si="0"/>
        <v>42632</v>
      </c>
      <c r="B190" s="333">
        <v>413924.51</v>
      </c>
      <c r="D190" s="320"/>
      <c r="E190" s="125"/>
    </row>
    <row r="191" spans="1:5" x14ac:dyDescent="0.2">
      <c r="A191" s="334">
        <f t="shared" si="0"/>
        <v>42633</v>
      </c>
      <c r="B191" s="333">
        <v>395080.96000000002</v>
      </c>
      <c r="D191" s="320"/>
      <c r="E191" s="125"/>
    </row>
    <row r="192" spans="1:5" x14ac:dyDescent="0.2">
      <c r="A192" s="334">
        <f t="shared" si="0"/>
        <v>42634</v>
      </c>
      <c r="B192" s="333">
        <v>393852.1</v>
      </c>
      <c r="D192" s="320"/>
      <c r="E192" s="125"/>
    </row>
    <row r="193" spans="1:5" x14ac:dyDescent="0.2">
      <c r="A193" s="334">
        <f t="shared" si="0"/>
        <v>42635</v>
      </c>
      <c r="B193" s="333">
        <v>397757.18</v>
      </c>
      <c r="D193" s="320"/>
      <c r="E193" s="125"/>
    </row>
    <row r="194" spans="1:5" x14ac:dyDescent="0.2">
      <c r="A194" s="334">
        <f t="shared" si="0"/>
        <v>42636</v>
      </c>
      <c r="B194" s="333">
        <v>397757</v>
      </c>
      <c r="D194" s="320"/>
      <c r="E194" s="125"/>
    </row>
    <row r="195" spans="1:5" x14ac:dyDescent="0.2">
      <c r="A195" s="334">
        <f t="shared" si="0"/>
        <v>42639</v>
      </c>
      <c r="B195" s="333">
        <v>397757</v>
      </c>
      <c r="D195" s="320"/>
      <c r="E195" s="125"/>
    </row>
    <row r="196" spans="1:5" x14ac:dyDescent="0.2">
      <c r="A196" s="334">
        <f t="shared" ref="A196:A259" si="1">A191+7</f>
        <v>42640</v>
      </c>
      <c r="B196" s="333">
        <v>403105.59</v>
      </c>
      <c r="D196" s="320"/>
      <c r="E196" s="125"/>
    </row>
    <row r="197" spans="1:5" x14ac:dyDescent="0.2">
      <c r="A197" s="334">
        <f t="shared" si="1"/>
        <v>42641</v>
      </c>
      <c r="B197" s="333">
        <v>394170.51</v>
      </c>
      <c r="D197" s="320"/>
      <c r="E197" s="125"/>
    </row>
    <row r="198" spans="1:5" x14ac:dyDescent="0.2">
      <c r="A198" s="334">
        <f t="shared" si="1"/>
        <v>42642</v>
      </c>
      <c r="B198" s="333">
        <v>397917.56</v>
      </c>
      <c r="D198" s="320"/>
      <c r="E198" s="125"/>
    </row>
    <row r="199" spans="1:5" x14ac:dyDescent="0.2">
      <c r="A199" s="334">
        <f t="shared" si="1"/>
        <v>42643</v>
      </c>
      <c r="B199" s="333">
        <v>397918</v>
      </c>
      <c r="D199" s="320"/>
      <c r="E199" s="125"/>
    </row>
    <row r="200" spans="1:5" x14ac:dyDescent="0.2">
      <c r="A200" s="334">
        <f t="shared" si="1"/>
        <v>42646</v>
      </c>
      <c r="B200" s="333">
        <v>361701.8</v>
      </c>
      <c r="D200" s="320"/>
      <c r="E200" s="125"/>
    </row>
    <row r="201" spans="1:5" x14ac:dyDescent="0.2">
      <c r="A201" s="334">
        <f t="shared" si="1"/>
        <v>42647</v>
      </c>
      <c r="B201" s="333">
        <v>362031.95</v>
      </c>
      <c r="D201" s="320"/>
      <c r="E201" s="125"/>
    </row>
    <row r="202" spans="1:5" x14ac:dyDescent="0.2">
      <c r="A202" s="334">
        <f t="shared" si="1"/>
        <v>42648</v>
      </c>
      <c r="B202" s="333">
        <v>362032</v>
      </c>
    </row>
    <row r="203" spans="1:5" x14ac:dyDescent="0.2">
      <c r="A203" s="334">
        <f t="shared" si="1"/>
        <v>42649</v>
      </c>
      <c r="B203" s="333">
        <v>360433.13</v>
      </c>
    </row>
    <row r="204" spans="1:5" x14ac:dyDescent="0.2">
      <c r="A204" s="334">
        <f t="shared" si="1"/>
        <v>42650</v>
      </c>
      <c r="B204" s="333">
        <v>361754.66</v>
      </c>
    </row>
    <row r="205" spans="1:5" x14ac:dyDescent="0.2">
      <c r="A205" s="334">
        <f t="shared" si="1"/>
        <v>42653</v>
      </c>
      <c r="B205" s="333">
        <v>361755</v>
      </c>
    </row>
    <row r="206" spans="1:5" x14ac:dyDescent="0.2">
      <c r="A206" s="334">
        <f t="shared" si="1"/>
        <v>42654</v>
      </c>
      <c r="B206" s="333">
        <v>361755</v>
      </c>
    </row>
    <row r="207" spans="1:5" x14ac:dyDescent="0.2">
      <c r="A207" s="334">
        <f t="shared" si="1"/>
        <v>42655</v>
      </c>
      <c r="B207" s="333">
        <v>365429.62</v>
      </c>
    </row>
    <row r="208" spans="1:5" x14ac:dyDescent="0.2">
      <c r="A208" s="334">
        <f t="shared" si="1"/>
        <v>42656</v>
      </c>
      <c r="B208" s="333">
        <v>375400.83</v>
      </c>
    </row>
    <row r="209" spans="1:2" x14ac:dyDescent="0.2">
      <c r="A209" s="334">
        <f t="shared" si="1"/>
        <v>42657</v>
      </c>
      <c r="B209" s="333">
        <v>375484.03</v>
      </c>
    </row>
    <row r="210" spans="1:2" x14ac:dyDescent="0.2">
      <c r="A210" s="334">
        <f t="shared" si="1"/>
        <v>42660</v>
      </c>
      <c r="B210" s="333">
        <v>339702.96</v>
      </c>
    </row>
    <row r="211" spans="1:2" x14ac:dyDescent="0.2">
      <c r="A211" s="334">
        <f t="shared" si="1"/>
        <v>42661</v>
      </c>
      <c r="B211" s="333">
        <v>343741.39</v>
      </c>
    </row>
    <row r="212" spans="1:2" x14ac:dyDescent="0.2">
      <c r="A212" s="334">
        <f t="shared" si="1"/>
        <v>42662</v>
      </c>
      <c r="B212" s="333">
        <v>343741</v>
      </c>
    </row>
    <row r="213" spans="1:2" x14ac:dyDescent="0.2">
      <c r="A213" s="334">
        <f t="shared" si="1"/>
        <v>42663</v>
      </c>
      <c r="B213" s="333">
        <v>332267.31</v>
      </c>
    </row>
    <row r="214" spans="1:2" x14ac:dyDescent="0.2">
      <c r="A214" s="334">
        <f t="shared" si="1"/>
        <v>42664</v>
      </c>
      <c r="B214" s="333">
        <v>332482.06</v>
      </c>
    </row>
    <row r="215" spans="1:2" x14ac:dyDescent="0.2">
      <c r="A215" s="334">
        <f t="shared" si="1"/>
        <v>42667</v>
      </c>
      <c r="B215" s="333">
        <v>332482</v>
      </c>
    </row>
    <row r="216" spans="1:2" x14ac:dyDescent="0.2">
      <c r="A216" s="334">
        <f t="shared" si="1"/>
        <v>42668</v>
      </c>
      <c r="B216" s="333">
        <v>337085.39</v>
      </c>
    </row>
    <row r="217" spans="1:2" x14ac:dyDescent="0.2">
      <c r="A217" s="334">
        <f t="shared" si="1"/>
        <v>42669</v>
      </c>
      <c r="B217" s="333">
        <v>337085</v>
      </c>
    </row>
    <row r="218" spans="1:2" x14ac:dyDescent="0.2">
      <c r="A218" s="334">
        <f t="shared" si="1"/>
        <v>42670</v>
      </c>
      <c r="B218" s="333">
        <v>333113.26</v>
      </c>
    </row>
    <row r="219" spans="1:2" x14ac:dyDescent="0.2">
      <c r="A219" s="334">
        <f t="shared" si="1"/>
        <v>42671</v>
      </c>
      <c r="B219" s="333">
        <v>360993.03</v>
      </c>
    </row>
    <row r="220" spans="1:2" x14ac:dyDescent="0.2">
      <c r="A220" s="334">
        <f t="shared" si="1"/>
        <v>42674</v>
      </c>
      <c r="B220" s="333">
        <v>350567.25</v>
      </c>
    </row>
    <row r="221" spans="1:2" x14ac:dyDescent="0.2">
      <c r="A221" s="334">
        <f t="shared" si="1"/>
        <v>42675</v>
      </c>
      <c r="B221" s="333">
        <v>350939.21</v>
      </c>
    </row>
    <row r="222" spans="1:2" x14ac:dyDescent="0.2">
      <c r="A222" s="334">
        <f t="shared" si="1"/>
        <v>42676</v>
      </c>
      <c r="B222" s="333">
        <v>350939</v>
      </c>
    </row>
    <row r="223" spans="1:2" x14ac:dyDescent="0.2">
      <c r="A223" s="334">
        <f t="shared" si="1"/>
        <v>42677</v>
      </c>
      <c r="B223" s="333">
        <v>344148.64</v>
      </c>
    </row>
    <row r="224" spans="1:2" x14ac:dyDescent="0.2">
      <c r="A224" s="334">
        <f t="shared" si="1"/>
        <v>42678</v>
      </c>
      <c r="B224" s="333">
        <v>399084.27</v>
      </c>
    </row>
    <row r="225" spans="1:2" x14ac:dyDescent="0.2">
      <c r="A225" s="334">
        <f t="shared" si="1"/>
        <v>42681</v>
      </c>
      <c r="B225" s="333">
        <v>399084</v>
      </c>
    </row>
    <row r="226" spans="1:2" x14ac:dyDescent="0.2">
      <c r="A226" s="334">
        <f t="shared" si="1"/>
        <v>42682</v>
      </c>
      <c r="B226" s="333">
        <v>403667.29</v>
      </c>
    </row>
    <row r="227" spans="1:2" x14ac:dyDescent="0.2">
      <c r="A227" s="334">
        <f t="shared" si="1"/>
        <v>42683</v>
      </c>
      <c r="B227" s="333">
        <v>403667</v>
      </c>
    </row>
    <row r="228" spans="1:2" x14ac:dyDescent="0.2">
      <c r="A228" s="334">
        <f t="shared" si="1"/>
        <v>42684</v>
      </c>
      <c r="B228" s="333">
        <v>383477.25</v>
      </c>
    </row>
    <row r="229" spans="1:2" x14ac:dyDescent="0.2">
      <c r="A229" s="334">
        <f t="shared" si="1"/>
        <v>42685</v>
      </c>
      <c r="B229" s="333">
        <v>383477</v>
      </c>
    </row>
    <row r="230" spans="1:2" x14ac:dyDescent="0.2">
      <c r="A230" s="334">
        <f t="shared" si="1"/>
        <v>42688</v>
      </c>
      <c r="B230" s="333">
        <v>347717.6</v>
      </c>
    </row>
    <row r="231" spans="1:2" x14ac:dyDescent="0.2">
      <c r="A231" s="334">
        <f t="shared" si="1"/>
        <v>42689</v>
      </c>
      <c r="B231" s="333">
        <v>347836.75</v>
      </c>
    </row>
    <row r="232" spans="1:2" x14ac:dyDescent="0.2">
      <c r="A232" s="334">
        <f t="shared" si="1"/>
        <v>42690</v>
      </c>
      <c r="B232" s="333">
        <v>347836.75</v>
      </c>
    </row>
    <row r="233" spans="1:2" x14ac:dyDescent="0.2">
      <c r="A233" s="334">
        <f t="shared" si="1"/>
        <v>42691</v>
      </c>
      <c r="B233" s="333">
        <v>350935.56</v>
      </c>
    </row>
    <row r="234" spans="1:2" x14ac:dyDescent="0.2">
      <c r="A234" s="334">
        <f t="shared" si="1"/>
        <v>42692</v>
      </c>
      <c r="B234" s="333">
        <v>350936</v>
      </c>
    </row>
    <row r="235" spans="1:2" x14ac:dyDescent="0.2">
      <c r="A235" s="334">
        <f t="shared" si="1"/>
        <v>42695</v>
      </c>
      <c r="B235" s="333">
        <v>350936</v>
      </c>
    </row>
    <row r="236" spans="1:2" x14ac:dyDescent="0.2">
      <c r="A236" s="334">
        <f t="shared" si="1"/>
        <v>42696</v>
      </c>
      <c r="B236" s="333">
        <v>351588.06</v>
      </c>
    </row>
    <row r="237" spans="1:2" x14ac:dyDescent="0.2">
      <c r="A237" s="334">
        <f t="shared" si="1"/>
        <v>42697</v>
      </c>
      <c r="B237" s="333">
        <v>349477.96</v>
      </c>
    </row>
    <row r="238" spans="1:2" x14ac:dyDescent="0.2">
      <c r="A238" s="334">
        <f t="shared" si="1"/>
        <v>42698</v>
      </c>
      <c r="B238" s="333">
        <v>349478</v>
      </c>
    </row>
    <row r="239" spans="1:2" x14ac:dyDescent="0.2">
      <c r="A239" s="334">
        <f t="shared" si="1"/>
        <v>42699</v>
      </c>
      <c r="B239" s="333">
        <v>368170.66</v>
      </c>
    </row>
    <row r="240" spans="1:2" x14ac:dyDescent="0.2">
      <c r="A240" s="334">
        <f t="shared" si="1"/>
        <v>42702</v>
      </c>
      <c r="B240" s="333">
        <v>368170.66</v>
      </c>
    </row>
    <row r="241" spans="1:2" x14ac:dyDescent="0.2">
      <c r="A241" s="334">
        <f t="shared" si="1"/>
        <v>42703</v>
      </c>
      <c r="B241" s="333">
        <v>328902.64</v>
      </c>
    </row>
    <row r="242" spans="1:2" x14ac:dyDescent="0.2">
      <c r="A242" s="334">
        <f t="shared" si="1"/>
        <v>42704</v>
      </c>
      <c r="B242" s="333">
        <v>338455.85</v>
      </c>
    </row>
    <row r="243" spans="1:2" x14ac:dyDescent="0.2">
      <c r="A243" s="334">
        <f t="shared" si="1"/>
        <v>42705</v>
      </c>
      <c r="B243" s="333">
        <v>336997.18</v>
      </c>
    </row>
    <row r="244" spans="1:2" x14ac:dyDescent="0.2">
      <c r="A244" s="334">
        <f t="shared" si="1"/>
        <v>42706</v>
      </c>
      <c r="B244" s="333">
        <v>342825.59</v>
      </c>
    </row>
    <row r="245" spans="1:2" x14ac:dyDescent="0.2">
      <c r="A245" s="334">
        <f t="shared" si="1"/>
        <v>42709</v>
      </c>
      <c r="B245" s="333">
        <v>342826</v>
      </c>
    </row>
    <row r="246" spans="1:2" x14ac:dyDescent="0.2">
      <c r="A246" s="334">
        <f t="shared" si="1"/>
        <v>42710</v>
      </c>
      <c r="B246" s="333">
        <v>344457.81</v>
      </c>
    </row>
    <row r="247" spans="1:2" x14ac:dyDescent="0.2">
      <c r="A247" s="334">
        <f t="shared" si="1"/>
        <v>42711</v>
      </c>
      <c r="B247" s="333">
        <v>366772.64</v>
      </c>
    </row>
    <row r="248" spans="1:2" x14ac:dyDescent="0.2">
      <c r="A248" s="334">
        <f t="shared" si="1"/>
        <v>42712</v>
      </c>
      <c r="B248" s="333">
        <v>366772.6</v>
      </c>
    </row>
    <row r="249" spans="1:2" x14ac:dyDescent="0.2">
      <c r="A249" s="334">
        <f t="shared" si="1"/>
        <v>42713</v>
      </c>
      <c r="B249" s="333">
        <v>366773</v>
      </c>
    </row>
    <row r="250" spans="1:2" x14ac:dyDescent="0.2">
      <c r="A250" s="334">
        <f t="shared" si="1"/>
        <v>42716</v>
      </c>
      <c r="B250" s="333">
        <v>366773</v>
      </c>
    </row>
    <row r="251" spans="1:2" x14ac:dyDescent="0.2">
      <c r="A251" s="334">
        <f t="shared" si="1"/>
        <v>42717</v>
      </c>
      <c r="B251" s="333">
        <v>346535.44</v>
      </c>
    </row>
    <row r="252" spans="1:2" x14ac:dyDescent="0.2">
      <c r="A252" s="334">
        <f t="shared" si="1"/>
        <v>42718</v>
      </c>
      <c r="B252" s="333">
        <v>346535</v>
      </c>
    </row>
    <row r="253" spans="1:2" x14ac:dyDescent="0.2">
      <c r="A253" s="334">
        <f t="shared" si="1"/>
        <v>42719</v>
      </c>
      <c r="B253" s="333">
        <v>335522.11</v>
      </c>
    </row>
    <row r="254" spans="1:2" x14ac:dyDescent="0.2">
      <c r="A254" s="334">
        <f t="shared" si="1"/>
        <v>42720</v>
      </c>
      <c r="B254" s="333">
        <v>335675.99</v>
      </c>
    </row>
    <row r="255" spans="1:2" x14ac:dyDescent="0.2">
      <c r="A255" s="334">
        <f t="shared" si="1"/>
        <v>42723</v>
      </c>
      <c r="B255" s="333">
        <v>357268.43</v>
      </c>
    </row>
    <row r="256" spans="1:2" x14ac:dyDescent="0.2">
      <c r="A256" s="334">
        <f t="shared" si="1"/>
        <v>42724</v>
      </c>
      <c r="B256" s="333">
        <v>357268</v>
      </c>
    </row>
    <row r="257" spans="1:2" x14ac:dyDescent="0.2">
      <c r="A257" s="334">
        <f t="shared" si="1"/>
        <v>42725</v>
      </c>
      <c r="B257" s="333">
        <v>366192.91</v>
      </c>
    </row>
    <row r="258" spans="1:2" x14ac:dyDescent="0.2">
      <c r="A258" s="334">
        <f t="shared" si="1"/>
        <v>42726</v>
      </c>
      <c r="B258" s="333">
        <v>377001.67</v>
      </c>
    </row>
    <row r="259" spans="1:2" x14ac:dyDescent="0.2">
      <c r="A259" s="334">
        <f t="shared" si="1"/>
        <v>42727</v>
      </c>
      <c r="B259" s="333">
        <v>377329.67</v>
      </c>
    </row>
    <row r="260" spans="1:2" x14ac:dyDescent="0.2">
      <c r="A260" s="334">
        <f t="shared" ref="A260:A264" si="2">A255+7</f>
        <v>42730</v>
      </c>
      <c r="B260" s="333">
        <v>377330</v>
      </c>
    </row>
    <row r="261" spans="1:2" x14ac:dyDescent="0.2">
      <c r="A261" s="334">
        <f t="shared" si="2"/>
        <v>42731</v>
      </c>
      <c r="B261" s="333">
        <v>339782.53</v>
      </c>
    </row>
    <row r="262" spans="1:2" x14ac:dyDescent="0.2">
      <c r="A262" s="334">
        <f t="shared" si="2"/>
        <v>42732</v>
      </c>
      <c r="B262" s="333">
        <v>339783</v>
      </c>
    </row>
    <row r="263" spans="1:2" x14ac:dyDescent="0.2">
      <c r="A263" s="334">
        <f t="shared" si="2"/>
        <v>42733</v>
      </c>
      <c r="B263" s="333">
        <v>337987.77</v>
      </c>
    </row>
    <row r="264" spans="1:2" x14ac:dyDescent="0.2">
      <c r="A264" s="334">
        <f t="shared" si="2"/>
        <v>42734</v>
      </c>
      <c r="B264" s="333">
        <v>354814.33</v>
      </c>
    </row>
    <row r="265" spans="1:2" x14ac:dyDescent="0.2">
      <c r="A265" s="344">
        <v>42737</v>
      </c>
      <c r="B265" s="345">
        <v>354814</v>
      </c>
    </row>
    <row r="266" spans="1:2" x14ac:dyDescent="0.2">
      <c r="A266" s="344">
        <v>42738</v>
      </c>
      <c r="B266" s="345">
        <v>361866.86</v>
      </c>
    </row>
    <row r="267" spans="1:2" x14ac:dyDescent="0.2">
      <c r="A267" s="344">
        <v>42739</v>
      </c>
      <c r="B267" s="345">
        <v>363519.32</v>
      </c>
    </row>
    <row r="268" spans="1:2" x14ac:dyDescent="0.2">
      <c r="A268" s="344">
        <v>42740</v>
      </c>
      <c r="B268" s="345">
        <v>361866.66</v>
      </c>
    </row>
    <row r="269" spans="1:2" x14ac:dyDescent="0.2">
      <c r="A269" s="344">
        <v>42741</v>
      </c>
      <c r="B269" s="345">
        <v>363519</v>
      </c>
    </row>
    <row r="270" spans="1:2" x14ac:dyDescent="0.2">
      <c r="A270" s="344">
        <v>42744</v>
      </c>
      <c r="B270" s="345">
        <v>363543.47</v>
      </c>
    </row>
    <row r="271" spans="1:2" x14ac:dyDescent="0.2">
      <c r="A271" s="344">
        <v>42745</v>
      </c>
      <c r="B271" s="345">
        <v>328707.83</v>
      </c>
    </row>
    <row r="272" spans="1:2" x14ac:dyDescent="0.2">
      <c r="A272" s="344">
        <v>42746</v>
      </c>
      <c r="B272" s="345">
        <v>328708</v>
      </c>
    </row>
    <row r="273" spans="1:2" x14ac:dyDescent="0.2">
      <c r="A273" s="344">
        <v>42747</v>
      </c>
      <c r="B273" s="345">
        <v>321086.01</v>
      </c>
    </row>
    <row r="274" spans="1:2" x14ac:dyDescent="0.2">
      <c r="A274" s="344">
        <v>42748</v>
      </c>
      <c r="B274" s="345">
        <v>334097.28000000003</v>
      </c>
    </row>
    <row r="275" spans="1:2" x14ac:dyDescent="0.2">
      <c r="A275" s="344">
        <v>42751</v>
      </c>
      <c r="B275" s="345">
        <v>334097</v>
      </c>
    </row>
    <row r="276" spans="1:2" x14ac:dyDescent="0.2">
      <c r="A276" s="344">
        <v>42752</v>
      </c>
      <c r="B276" s="345">
        <v>268850.96000000002</v>
      </c>
    </row>
    <row r="277" spans="1:2" x14ac:dyDescent="0.2">
      <c r="A277" s="344">
        <v>42753</v>
      </c>
      <c r="B277" s="345">
        <v>268851</v>
      </c>
    </row>
    <row r="278" spans="1:2" x14ac:dyDescent="0.2">
      <c r="A278" s="344">
        <v>42754</v>
      </c>
      <c r="B278" s="345">
        <v>269075.21000000002</v>
      </c>
    </row>
    <row r="279" spans="1:2" x14ac:dyDescent="0.2">
      <c r="A279" s="344">
        <v>42755</v>
      </c>
      <c r="B279" s="345">
        <v>270983.21000000002</v>
      </c>
    </row>
    <row r="280" spans="1:2" x14ac:dyDescent="0.2">
      <c r="A280" s="344">
        <v>42758</v>
      </c>
      <c r="B280" s="345">
        <v>270983</v>
      </c>
    </row>
    <row r="281" spans="1:2" x14ac:dyDescent="0.2">
      <c r="A281" s="344">
        <v>42759</v>
      </c>
      <c r="B281" s="345">
        <v>270723.98</v>
      </c>
    </row>
    <row r="282" spans="1:2" x14ac:dyDescent="0.2">
      <c r="A282" s="344">
        <v>42760</v>
      </c>
      <c r="B282" s="345">
        <v>281353.09999999998</v>
      </c>
    </row>
    <row r="283" spans="1:2" x14ac:dyDescent="0.2">
      <c r="A283" s="344">
        <v>42761</v>
      </c>
      <c r="B283" s="345">
        <v>274313.84999999998</v>
      </c>
    </row>
    <row r="284" spans="1:2" x14ac:dyDescent="0.2">
      <c r="A284" s="344">
        <v>42762</v>
      </c>
      <c r="B284" s="345">
        <v>296447.59999999998</v>
      </c>
    </row>
    <row r="285" spans="1:2" x14ac:dyDescent="0.2">
      <c r="A285" s="344">
        <v>42765</v>
      </c>
      <c r="B285" s="345">
        <v>295107.96000000002</v>
      </c>
    </row>
    <row r="286" spans="1:2" x14ac:dyDescent="0.2">
      <c r="A286" s="344">
        <v>42766</v>
      </c>
      <c r="B286" s="345">
        <v>314030.53000000003</v>
      </c>
    </row>
    <row r="287" spans="1:2" x14ac:dyDescent="0.2">
      <c r="A287" s="344">
        <v>42767</v>
      </c>
      <c r="B287" s="345">
        <v>314031</v>
      </c>
    </row>
    <row r="288" spans="1:2" x14ac:dyDescent="0.2">
      <c r="A288" s="344">
        <v>42768</v>
      </c>
      <c r="B288" s="345">
        <v>312808.53999999998</v>
      </c>
    </row>
    <row r="289" spans="1:2" x14ac:dyDescent="0.2">
      <c r="A289" s="344">
        <v>42769</v>
      </c>
      <c r="B289" s="345">
        <v>316461.53999999998</v>
      </c>
    </row>
    <row r="290" spans="1:2" x14ac:dyDescent="0.2">
      <c r="A290" s="344">
        <v>42772</v>
      </c>
      <c r="B290" s="345">
        <v>316462</v>
      </c>
    </row>
    <row r="291" spans="1:2" x14ac:dyDescent="0.2">
      <c r="A291" s="344">
        <v>42773</v>
      </c>
      <c r="B291" s="345">
        <v>289560.21999999997</v>
      </c>
    </row>
    <row r="292" spans="1:2" x14ac:dyDescent="0.2">
      <c r="A292" s="344">
        <v>42774</v>
      </c>
      <c r="B292" s="345">
        <v>297310.21999999997</v>
      </c>
    </row>
    <row r="293" spans="1:2" x14ac:dyDescent="0.2">
      <c r="A293" s="344">
        <v>42775</v>
      </c>
      <c r="B293" s="345">
        <v>352433.91</v>
      </c>
    </row>
    <row r="294" spans="1:2" x14ac:dyDescent="0.2">
      <c r="A294" s="344">
        <v>42776</v>
      </c>
      <c r="B294" s="345">
        <v>352434</v>
      </c>
    </row>
    <row r="295" spans="1:2" x14ac:dyDescent="0.2">
      <c r="A295" s="344">
        <v>42779</v>
      </c>
      <c r="B295" s="345">
        <v>352434</v>
      </c>
    </row>
    <row r="296" spans="1:2" x14ac:dyDescent="0.2">
      <c r="A296" s="344">
        <v>42780</v>
      </c>
      <c r="B296" s="345">
        <v>352434</v>
      </c>
    </row>
    <row r="297" spans="1:2" x14ac:dyDescent="0.2">
      <c r="A297" s="344">
        <v>42781</v>
      </c>
      <c r="B297" s="345">
        <v>352542.46</v>
      </c>
    </row>
    <row r="298" spans="1:2" x14ac:dyDescent="0.2">
      <c r="A298" s="344">
        <v>42782</v>
      </c>
      <c r="B298" s="345">
        <v>383231.99</v>
      </c>
    </row>
    <row r="299" spans="1:2" x14ac:dyDescent="0.2">
      <c r="A299" s="344">
        <v>42783</v>
      </c>
      <c r="B299" s="369">
        <v>404679.36</v>
      </c>
    </row>
    <row r="300" spans="1:2" x14ac:dyDescent="0.2">
      <c r="A300" s="344">
        <v>42785</v>
      </c>
      <c r="B300" s="345">
        <v>404679</v>
      </c>
    </row>
    <row r="301" spans="1:2" x14ac:dyDescent="0.2">
      <c r="A301" s="344">
        <v>42787</v>
      </c>
      <c r="B301" s="345">
        <v>368703.72</v>
      </c>
    </row>
    <row r="302" spans="1:2" x14ac:dyDescent="0.2">
      <c r="A302" s="344">
        <v>42788</v>
      </c>
      <c r="B302" s="345">
        <v>368203.72</v>
      </c>
    </row>
    <row r="303" spans="1:2" x14ac:dyDescent="0.2">
      <c r="A303" s="344">
        <v>42789</v>
      </c>
      <c r="B303" s="345">
        <v>349211.92</v>
      </c>
    </row>
    <row r="304" spans="1:2" x14ac:dyDescent="0.2">
      <c r="A304" s="344">
        <v>42790</v>
      </c>
      <c r="B304" s="345">
        <v>384176.45</v>
      </c>
    </row>
    <row r="305" spans="1:2" x14ac:dyDescent="0.2">
      <c r="A305" s="344">
        <v>42793</v>
      </c>
      <c r="B305" s="345">
        <v>384176</v>
      </c>
    </row>
    <row r="306" spans="1:2" x14ac:dyDescent="0.2">
      <c r="A306" s="344">
        <v>42794</v>
      </c>
      <c r="B306" s="345">
        <v>384176</v>
      </c>
    </row>
    <row r="307" spans="1:2" x14ac:dyDescent="0.2">
      <c r="A307" s="344">
        <v>42795</v>
      </c>
      <c r="B307" s="345">
        <v>384176</v>
      </c>
    </row>
    <row r="308" spans="1:2" x14ac:dyDescent="0.2">
      <c r="A308" s="344">
        <v>42796</v>
      </c>
      <c r="B308" s="345">
        <v>395396.43</v>
      </c>
    </row>
    <row r="309" spans="1:2" x14ac:dyDescent="0.2">
      <c r="A309" s="344">
        <v>42797</v>
      </c>
      <c r="B309" s="345">
        <v>395396</v>
      </c>
    </row>
    <row r="310" spans="1:2" x14ac:dyDescent="0.2">
      <c r="A310" s="344">
        <v>42800</v>
      </c>
      <c r="B310" s="345">
        <v>395396</v>
      </c>
    </row>
    <row r="311" spans="1:2" x14ac:dyDescent="0.2">
      <c r="A311" s="344">
        <v>42801</v>
      </c>
      <c r="B311" s="345">
        <v>361856.47</v>
      </c>
    </row>
    <row r="312" spans="1:2" x14ac:dyDescent="0.2">
      <c r="A312" s="344">
        <v>42802</v>
      </c>
      <c r="B312" s="345">
        <v>361856</v>
      </c>
    </row>
    <row r="313" spans="1:2" x14ac:dyDescent="0.2">
      <c r="A313" s="344">
        <v>42803</v>
      </c>
      <c r="B313" s="345">
        <v>349877.16</v>
      </c>
    </row>
    <row r="314" spans="1:2" x14ac:dyDescent="0.2">
      <c r="A314" s="344">
        <v>42804</v>
      </c>
      <c r="B314" s="345">
        <v>359297.81</v>
      </c>
    </row>
    <row r="315" spans="1:2" x14ac:dyDescent="0.2">
      <c r="A315" s="344">
        <v>42807</v>
      </c>
      <c r="B315" s="345">
        <v>361678.91</v>
      </c>
    </row>
    <row r="316" spans="1:2" x14ac:dyDescent="0.2">
      <c r="A316" s="344">
        <v>42808</v>
      </c>
      <c r="B316" s="345">
        <v>361679</v>
      </c>
    </row>
    <row r="317" spans="1:2" x14ac:dyDescent="0.2">
      <c r="A317" s="344">
        <v>42809</v>
      </c>
      <c r="B317" s="345">
        <v>370843.37</v>
      </c>
    </row>
    <row r="318" spans="1:2" x14ac:dyDescent="0.2">
      <c r="A318" s="344">
        <v>42810</v>
      </c>
      <c r="B318" s="345">
        <v>377566.07</v>
      </c>
    </row>
    <row r="319" spans="1:2" x14ac:dyDescent="0.2">
      <c r="A319" s="344">
        <v>42811</v>
      </c>
      <c r="B319" s="345">
        <v>370373.97</v>
      </c>
    </row>
    <row r="320" spans="1:2" x14ac:dyDescent="0.2">
      <c r="A320" s="344">
        <v>42814</v>
      </c>
      <c r="B320" s="345">
        <v>338340.3</v>
      </c>
    </row>
    <row r="321" spans="1:2" x14ac:dyDescent="0.2">
      <c r="A321" s="344">
        <v>42815</v>
      </c>
      <c r="B321" s="345">
        <v>338340</v>
      </c>
    </row>
    <row r="322" spans="1:2" x14ac:dyDescent="0.2">
      <c r="A322" s="344">
        <v>42816</v>
      </c>
      <c r="B322" s="345">
        <v>338340</v>
      </c>
    </row>
    <row r="323" spans="1:2" x14ac:dyDescent="0.2">
      <c r="A323" s="344">
        <v>42817</v>
      </c>
      <c r="B323" s="345">
        <f>25944.71+322493.66</f>
        <v>348438.37</v>
      </c>
    </row>
    <row r="324" spans="1:2" x14ac:dyDescent="0.2">
      <c r="A324" s="344">
        <v>42818</v>
      </c>
      <c r="B324" s="345">
        <v>348438</v>
      </c>
    </row>
    <row r="325" spans="1:2" x14ac:dyDescent="0.2">
      <c r="A325" s="344">
        <v>42821</v>
      </c>
      <c r="B325" s="345">
        <v>348360.51</v>
      </c>
    </row>
    <row r="326" spans="1:2" x14ac:dyDescent="0.2">
      <c r="A326" s="344">
        <v>42822</v>
      </c>
      <c r="B326" s="333">
        <v>348440.48</v>
      </c>
    </row>
    <row r="327" spans="1:2" x14ac:dyDescent="0.2">
      <c r="A327" s="344">
        <v>42823</v>
      </c>
      <c r="B327" s="333">
        <v>348440</v>
      </c>
    </row>
    <row r="328" spans="1:2" x14ac:dyDescent="0.2">
      <c r="A328" s="344">
        <v>42824</v>
      </c>
      <c r="B328" s="333">
        <v>350305.92</v>
      </c>
    </row>
    <row r="329" spans="1:2" x14ac:dyDescent="0.2">
      <c r="A329" s="344">
        <v>42825</v>
      </c>
      <c r="B329" s="333">
        <v>350306</v>
      </c>
    </row>
    <row r="330" spans="1:2" x14ac:dyDescent="0.2">
      <c r="A330" s="344">
        <v>42828</v>
      </c>
      <c r="B330" s="333">
        <v>350306</v>
      </c>
    </row>
    <row r="331" spans="1:2" x14ac:dyDescent="0.2">
      <c r="A331" s="344">
        <v>42829</v>
      </c>
      <c r="B331" s="333">
        <v>320389.65000000002</v>
      </c>
    </row>
    <row r="332" spans="1:2" x14ac:dyDescent="0.2">
      <c r="A332" s="344">
        <v>42830</v>
      </c>
      <c r="B332" s="333">
        <v>320390</v>
      </c>
    </row>
    <row r="333" spans="1:2" x14ac:dyDescent="0.2">
      <c r="A333" s="344">
        <v>42831</v>
      </c>
      <c r="B333" s="333">
        <v>313344</v>
      </c>
    </row>
    <row r="334" spans="1:2" x14ac:dyDescent="0.2">
      <c r="A334" s="344">
        <v>42832</v>
      </c>
      <c r="B334" s="333">
        <v>313344</v>
      </c>
    </row>
    <row r="335" spans="1:2" x14ac:dyDescent="0.2">
      <c r="A335" s="344">
        <v>42835</v>
      </c>
      <c r="B335" s="333">
        <v>306132.78000000003</v>
      </c>
    </row>
    <row r="336" spans="1:2" x14ac:dyDescent="0.2">
      <c r="A336" s="344">
        <v>42836</v>
      </c>
      <c r="B336" s="333">
        <v>286047.34999999998</v>
      </c>
    </row>
    <row r="337" spans="1:2" x14ac:dyDescent="0.2">
      <c r="A337" s="344">
        <v>42837</v>
      </c>
      <c r="B337" s="333">
        <v>286047</v>
      </c>
    </row>
    <row r="338" spans="1:2" x14ac:dyDescent="0.2">
      <c r="A338" s="344">
        <v>42838</v>
      </c>
      <c r="B338" s="333">
        <v>272128.99</v>
      </c>
    </row>
    <row r="339" spans="1:2" x14ac:dyDescent="0.2">
      <c r="A339" s="344">
        <v>42839</v>
      </c>
      <c r="B339" s="333">
        <v>272229.71000000002</v>
      </c>
    </row>
    <row r="340" spans="1:2" x14ac:dyDescent="0.2">
      <c r="A340" s="344">
        <v>42842</v>
      </c>
      <c r="B340" s="333">
        <v>236683.56</v>
      </c>
    </row>
    <row r="341" spans="1:2" x14ac:dyDescent="0.2">
      <c r="A341" s="344">
        <v>42843</v>
      </c>
      <c r="B341" s="333">
        <v>244114.64</v>
      </c>
    </row>
    <row r="342" spans="1:2" x14ac:dyDescent="0.2">
      <c r="A342" s="344">
        <v>42844</v>
      </c>
      <c r="B342" s="333">
        <v>244115</v>
      </c>
    </row>
    <row r="343" spans="1:2" x14ac:dyDescent="0.2">
      <c r="A343" s="344">
        <v>42845</v>
      </c>
      <c r="B343" s="333">
        <v>241798.76</v>
      </c>
    </row>
    <row r="344" spans="1:2" x14ac:dyDescent="0.2">
      <c r="A344" s="344">
        <v>42846</v>
      </c>
      <c r="B344" s="333">
        <v>241799</v>
      </c>
    </row>
    <row r="345" spans="1:2" x14ac:dyDescent="0.2">
      <c r="A345" s="344">
        <v>42849</v>
      </c>
      <c r="B345" s="333">
        <v>241973.76000000001</v>
      </c>
    </row>
    <row r="346" spans="1:2" x14ac:dyDescent="0.2">
      <c r="A346" s="344">
        <v>42850</v>
      </c>
      <c r="B346" s="333">
        <v>243364.2</v>
      </c>
    </row>
    <row r="347" spans="1:2" x14ac:dyDescent="0.2">
      <c r="A347" s="344">
        <v>42851</v>
      </c>
      <c r="B347" s="333">
        <v>243364</v>
      </c>
    </row>
    <row r="348" spans="1:2" x14ac:dyDescent="0.2">
      <c r="A348" s="344">
        <v>42852</v>
      </c>
      <c r="B348" s="333">
        <v>259265.45</v>
      </c>
    </row>
    <row r="349" spans="1:2" x14ac:dyDescent="0.2">
      <c r="A349" s="344">
        <v>42853</v>
      </c>
      <c r="B349" s="333">
        <v>290731.18</v>
      </c>
    </row>
    <row r="350" spans="1:2" x14ac:dyDescent="0.2">
      <c r="A350" s="344">
        <v>42856</v>
      </c>
      <c r="B350" s="333">
        <v>251486.17</v>
      </c>
    </row>
    <row r="351" spans="1:2" x14ac:dyDescent="0.2">
      <c r="A351" s="344">
        <v>42857</v>
      </c>
      <c r="B351" s="333">
        <v>253188.17</v>
      </c>
    </row>
    <row r="352" spans="1:2" x14ac:dyDescent="0.2">
      <c r="A352" s="344">
        <v>42858</v>
      </c>
      <c r="B352" s="333">
        <v>253188</v>
      </c>
    </row>
    <row r="353" spans="1:2" x14ac:dyDescent="0.2">
      <c r="A353" s="344">
        <v>42859</v>
      </c>
      <c r="B353" s="333">
        <v>232739.33</v>
      </c>
    </row>
    <row r="354" spans="1:2" x14ac:dyDescent="0.2">
      <c r="A354" s="344">
        <v>42860</v>
      </c>
      <c r="B354" s="333">
        <v>234049.33</v>
      </c>
    </row>
    <row r="355" spans="1:2" x14ac:dyDescent="0.2">
      <c r="A355" s="344">
        <v>42863</v>
      </c>
      <c r="B355" s="333">
        <v>314317.77</v>
      </c>
    </row>
    <row r="356" spans="1:2" x14ac:dyDescent="0.2">
      <c r="A356" s="344">
        <v>42864</v>
      </c>
      <c r="B356" s="333">
        <v>314318</v>
      </c>
    </row>
    <row r="357" spans="1:2" x14ac:dyDescent="0.2">
      <c r="A357" s="344">
        <v>42865</v>
      </c>
      <c r="B357" s="333">
        <v>314318</v>
      </c>
    </row>
    <row r="358" spans="1:2" x14ac:dyDescent="0.2">
      <c r="A358" s="344">
        <v>42866</v>
      </c>
      <c r="B358" s="333">
        <v>313971.28000000003</v>
      </c>
    </row>
    <row r="359" spans="1:2" x14ac:dyDescent="0.2">
      <c r="A359" s="344">
        <v>42867</v>
      </c>
      <c r="B359" s="333">
        <v>313971</v>
      </c>
    </row>
    <row r="360" spans="1:2" x14ac:dyDescent="0.2">
      <c r="A360" s="344">
        <v>42870</v>
      </c>
      <c r="B360" s="333">
        <v>271063.69</v>
      </c>
    </row>
    <row r="361" spans="1:2" x14ac:dyDescent="0.2">
      <c r="A361" s="344">
        <v>42871</v>
      </c>
      <c r="B361" s="333">
        <v>271064</v>
      </c>
    </row>
    <row r="362" spans="1:2" x14ac:dyDescent="0.2">
      <c r="A362" s="344">
        <v>42872</v>
      </c>
      <c r="B362" s="333">
        <v>271064</v>
      </c>
    </row>
    <row r="363" spans="1:2" x14ac:dyDescent="0.2">
      <c r="A363" s="344">
        <v>42873</v>
      </c>
      <c r="B363" s="333">
        <v>261497.73</v>
      </c>
    </row>
    <row r="364" spans="1:2" x14ac:dyDescent="0.2">
      <c r="A364" s="344">
        <v>42874</v>
      </c>
      <c r="B364" s="333">
        <v>311507.92</v>
      </c>
    </row>
    <row r="365" spans="1:2" x14ac:dyDescent="0.2">
      <c r="A365" s="344">
        <v>42877</v>
      </c>
      <c r="B365" s="333">
        <v>290080.52</v>
      </c>
    </row>
    <row r="366" spans="1:2" x14ac:dyDescent="0.2">
      <c r="A366" s="344">
        <v>42878</v>
      </c>
      <c r="B366" s="333">
        <v>290081</v>
      </c>
    </row>
    <row r="367" spans="1:2" x14ac:dyDescent="0.2">
      <c r="A367" s="344">
        <v>42879</v>
      </c>
      <c r="B367" s="333">
        <v>327080.46000000002</v>
      </c>
    </row>
    <row r="368" spans="1:2" x14ac:dyDescent="0.2">
      <c r="A368" s="344">
        <v>42880</v>
      </c>
      <c r="B368" s="333">
        <v>327080</v>
      </c>
    </row>
    <row r="369" spans="1:2" x14ac:dyDescent="0.2">
      <c r="A369" s="344">
        <v>42881</v>
      </c>
      <c r="B369" s="333">
        <v>336844.12</v>
      </c>
    </row>
    <row r="370" spans="1:2" x14ac:dyDescent="0.2">
      <c r="A370" s="344">
        <v>42884</v>
      </c>
      <c r="B370" s="333">
        <v>336844</v>
      </c>
    </row>
    <row r="371" spans="1:2" x14ac:dyDescent="0.2">
      <c r="A371" s="344">
        <v>42885</v>
      </c>
      <c r="B371" s="333">
        <v>300553.48</v>
      </c>
    </row>
    <row r="372" spans="1:2" x14ac:dyDescent="0.2">
      <c r="A372" s="344">
        <v>42886</v>
      </c>
      <c r="B372" s="333">
        <v>296887.5</v>
      </c>
    </row>
    <row r="373" spans="1:2" x14ac:dyDescent="0.2">
      <c r="A373" s="344">
        <v>42887</v>
      </c>
      <c r="B373" s="333">
        <v>297355.68</v>
      </c>
    </row>
    <row r="374" spans="1:2" x14ac:dyDescent="0.2">
      <c r="A374" s="344">
        <v>42888</v>
      </c>
      <c r="B374" s="333">
        <v>298760.68</v>
      </c>
    </row>
    <row r="375" spans="1:2" x14ac:dyDescent="0.2">
      <c r="A375" s="344">
        <v>42891</v>
      </c>
      <c r="B375" s="333">
        <v>279006.82</v>
      </c>
    </row>
    <row r="376" spans="1:2" x14ac:dyDescent="0.2">
      <c r="A376" s="344">
        <v>42892</v>
      </c>
      <c r="B376" s="333">
        <v>279007</v>
      </c>
    </row>
    <row r="377" spans="1:2" x14ac:dyDescent="0.2">
      <c r="A377" s="344">
        <v>42893</v>
      </c>
      <c r="B377" s="333">
        <v>279007</v>
      </c>
    </row>
    <row r="378" spans="1:2" x14ac:dyDescent="0.2">
      <c r="A378" s="344">
        <v>42894</v>
      </c>
      <c r="B378" s="333">
        <v>279112.07</v>
      </c>
    </row>
    <row r="379" spans="1:2" x14ac:dyDescent="0.2">
      <c r="A379" s="344">
        <v>42895</v>
      </c>
      <c r="B379" s="333">
        <v>279112</v>
      </c>
    </row>
    <row r="380" spans="1:2" x14ac:dyDescent="0.2">
      <c r="A380" s="344">
        <v>42898</v>
      </c>
      <c r="B380" s="333">
        <v>244072.02</v>
      </c>
    </row>
    <row r="381" spans="1:2" x14ac:dyDescent="0.2">
      <c r="A381" s="344">
        <v>42899</v>
      </c>
      <c r="B381" s="333">
        <v>249325.41</v>
      </c>
    </row>
    <row r="382" spans="1:2" x14ac:dyDescent="0.2">
      <c r="A382" s="344">
        <v>42900</v>
      </c>
      <c r="B382" s="333">
        <v>249325</v>
      </c>
    </row>
    <row r="383" spans="1:2" x14ac:dyDescent="0.2">
      <c r="A383" s="344">
        <v>42901</v>
      </c>
      <c r="B383" s="333">
        <v>252874.48</v>
      </c>
    </row>
    <row r="384" spans="1:2" x14ac:dyDescent="0.2">
      <c r="A384" s="344">
        <v>42902</v>
      </c>
      <c r="B384" s="333">
        <v>253128.65</v>
      </c>
    </row>
    <row r="385" spans="1:2" x14ac:dyDescent="0.2">
      <c r="A385" s="344">
        <v>42905</v>
      </c>
      <c r="B385" s="333">
        <v>255098.96</v>
      </c>
    </row>
    <row r="386" spans="1:2" x14ac:dyDescent="0.2">
      <c r="A386" s="344">
        <v>42906</v>
      </c>
      <c r="B386" s="333">
        <v>253521.42</v>
      </c>
    </row>
    <row r="387" spans="1:2" x14ac:dyDescent="0.2">
      <c r="A387" s="344">
        <v>42907</v>
      </c>
      <c r="B387" s="333">
        <v>253521</v>
      </c>
    </row>
    <row r="388" spans="1:2" x14ac:dyDescent="0.2">
      <c r="A388" s="344">
        <v>42908</v>
      </c>
      <c r="B388" s="333">
        <v>235912.36</v>
      </c>
    </row>
    <row r="389" spans="1:2" x14ac:dyDescent="0.2">
      <c r="A389" s="344">
        <v>42909</v>
      </c>
      <c r="B389" s="333">
        <v>235912</v>
      </c>
    </row>
    <row r="390" spans="1:2" x14ac:dyDescent="0.2">
      <c r="A390" s="344">
        <v>42912</v>
      </c>
      <c r="B390" s="370">
        <v>198879.76</v>
      </c>
    </row>
    <row r="391" spans="1:2" x14ac:dyDescent="0.2">
      <c r="A391" s="344">
        <v>42913</v>
      </c>
      <c r="B391" s="333">
        <v>199009.76</v>
      </c>
    </row>
    <row r="392" spans="1:2" x14ac:dyDescent="0.2">
      <c r="A392" s="344">
        <v>42914</v>
      </c>
      <c r="B392" s="333">
        <v>199010</v>
      </c>
    </row>
    <row r="393" spans="1:2" x14ac:dyDescent="0.2">
      <c r="A393" s="344">
        <v>42915</v>
      </c>
      <c r="B393" s="333">
        <v>210354</v>
      </c>
    </row>
    <row r="394" spans="1:2" x14ac:dyDescent="0.2">
      <c r="A394" s="344">
        <v>42916</v>
      </c>
      <c r="B394" s="333">
        <v>260779.62</v>
      </c>
    </row>
    <row r="395" spans="1:2" x14ac:dyDescent="0.2">
      <c r="A395" s="344">
        <v>42919</v>
      </c>
      <c r="B395" s="333">
        <v>260780</v>
      </c>
    </row>
    <row r="396" spans="1:2" x14ac:dyDescent="0.2">
      <c r="A396" s="344">
        <v>42920</v>
      </c>
      <c r="B396" s="333">
        <v>260780</v>
      </c>
    </row>
    <row r="397" spans="1:2" x14ac:dyDescent="0.2">
      <c r="A397" s="344">
        <v>42921</v>
      </c>
      <c r="B397" s="333">
        <v>260780</v>
      </c>
    </row>
    <row r="398" spans="1:2" x14ac:dyDescent="0.2">
      <c r="A398" s="344">
        <v>42922</v>
      </c>
      <c r="B398" s="333">
        <v>261774.11</v>
      </c>
    </row>
    <row r="399" spans="1:2" x14ac:dyDescent="0.2">
      <c r="A399" s="344">
        <v>42923</v>
      </c>
      <c r="B399" s="333">
        <v>261774</v>
      </c>
    </row>
    <row r="400" spans="1:2" x14ac:dyDescent="0.2">
      <c r="A400" s="344">
        <v>42926</v>
      </c>
      <c r="B400" s="333">
        <v>226950.89</v>
      </c>
    </row>
    <row r="401" spans="1:2" x14ac:dyDescent="0.2">
      <c r="A401" s="344">
        <v>42927</v>
      </c>
      <c r="B401" s="333">
        <v>226951</v>
      </c>
    </row>
    <row r="402" spans="1:2" x14ac:dyDescent="0.2">
      <c r="A402" s="344">
        <v>42928</v>
      </c>
      <c r="B402" s="333">
        <v>248711.94</v>
      </c>
    </row>
    <row r="403" spans="1:2" x14ac:dyDescent="0.2">
      <c r="A403" s="344">
        <v>42929</v>
      </c>
      <c r="B403" s="333">
        <v>256201.58</v>
      </c>
    </row>
    <row r="404" spans="1:2" x14ac:dyDescent="0.2">
      <c r="A404" s="344">
        <v>42930</v>
      </c>
      <c r="B404" s="333">
        <v>256272.97</v>
      </c>
    </row>
    <row r="405" spans="1:2" x14ac:dyDescent="0.2">
      <c r="A405" s="344">
        <v>42933</v>
      </c>
      <c r="B405" s="333">
        <v>256056.42</v>
      </c>
    </row>
    <row r="406" spans="1:2" x14ac:dyDescent="0.2">
      <c r="A406" s="344">
        <v>42934</v>
      </c>
      <c r="B406" s="333">
        <v>257213.96</v>
      </c>
    </row>
    <row r="407" spans="1:2" x14ac:dyDescent="0.2">
      <c r="A407" s="344">
        <v>42935</v>
      </c>
      <c r="B407" s="333">
        <v>257214</v>
      </c>
    </row>
    <row r="408" spans="1:2" x14ac:dyDescent="0.2">
      <c r="A408" s="344">
        <v>42936</v>
      </c>
      <c r="B408" s="333">
        <v>260075.5</v>
      </c>
    </row>
    <row r="409" spans="1:2" x14ac:dyDescent="0.2">
      <c r="A409" s="344">
        <v>42937</v>
      </c>
      <c r="B409" s="333">
        <v>339825.5</v>
      </c>
    </row>
    <row r="410" spans="1:2" x14ac:dyDescent="0.2">
      <c r="A410" s="344">
        <v>42940</v>
      </c>
      <c r="B410" s="333">
        <v>303182.65000000002</v>
      </c>
    </row>
    <row r="411" spans="1:2" x14ac:dyDescent="0.2">
      <c r="A411" s="344">
        <v>42941</v>
      </c>
      <c r="B411" s="333">
        <v>322340.12</v>
      </c>
    </row>
    <row r="412" spans="1:2" x14ac:dyDescent="0.2">
      <c r="A412" s="344">
        <v>42942</v>
      </c>
      <c r="B412" s="333">
        <v>322340</v>
      </c>
    </row>
    <row r="413" spans="1:2" x14ac:dyDescent="0.2">
      <c r="A413" s="344">
        <v>42943</v>
      </c>
      <c r="B413" s="333">
        <v>308772.78999999998</v>
      </c>
    </row>
    <row r="414" spans="1:2" x14ac:dyDescent="0.2">
      <c r="A414" s="344">
        <v>42944</v>
      </c>
      <c r="B414" s="333">
        <v>317343.40999999997</v>
      </c>
    </row>
    <row r="415" spans="1:2" x14ac:dyDescent="0.2">
      <c r="A415" s="344">
        <v>42947</v>
      </c>
      <c r="B415" s="333">
        <v>317343</v>
      </c>
    </row>
    <row r="416" spans="1:2" x14ac:dyDescent="0.2">
      <c r="A416" s="344">
        <v>42948</v>
      </c>
      <c r="B416" s="333">
        <v>369152.35</v>
      </c>
    </row>
    <row r="417" spans="1:2" x14ac:dyDescent="0.2">
      <c r="A417" s="344">
        <v>42949</v>
      </c>
      <c r="B417" s="333">
        <v>371061.94</v>
      </c>
    </row>
    <row r="418" spans="1:2" x14ac:dyDescent="0.2">
      <c r="A418" s="344">
        <v>42950</v>
      </c>
      <c r="B418" s="333">
        <v>372080.87</v>
      </c>
    </row>
    <row r="419" spans="1:2" x14ac:dyDescent="0.2">
      <c r="A419" s="344">
        <v>42951</v>
      </c>
      <c r="B419" s="333">
        <v>372080.87</v>
      </c>
    </row>
    <row r="420" spans="1:2" x14ac:dyDescent="0.2">
      <c r="A420" s="344">
        <v>42954</v>
      </c>
      <c r="B420" s="333">
        <v>336189.47</v>
      </c>
    </row>
    <row r="421" spans="1:2" x14ac:dyDescent="0.2">
      <c r="A421" s="344">
        <v>42955</v>
      </c>
      <c r="B421" s="333">
        <v>340998.07</v>
      </c>
    </row>
    <row r="422" spans="1:2" x14ac:dyDescent="0.2">
      <c r="A422" s="344">
        <v>42956</v>
      </c>
      <c r="B422" s="333">
        <v>332763.65000000002</v>
      </c>
    </row>
    <row r="423" spans="1:2" x14ac:dyDescent="0.2">
      <c r="A423" s="344">
        <v>42957</v>
      </c>
      <c r="B423" s="333">
        <v>375651.45</v>
      </c>
    </row>
    <row r="424" spans="1:2" x14ac:dyDescent="0.2">
      <c r="A424" s="344">
        <v>42958</v>
      </c>
      <c r="B424" s="333">
        <v>378293.21</v>
      </c>
    </row>
    <row r="425" spans="1:2" x14ac:dyDescent="0.2">
      <c r="A425" s="344">
        <v>42961</v>
      </c>
      <c r="B425" s="333">
        <v>378293</v>
      </c>
    </row>
    <row r="426" spans="1:2" x14ac:dyDescent="0.2">
      <c r="A426" s="344">
        <v>42962</v>
      </c>
      <c r="B426" s="333">
        <v>401190.06</v>
      </c>
    </row>
    <row r="427" spans="1:2" x14ac:dyDescent="0.2">
      <c r="A427" s="344">
        <v>42963</v>
      </c>
      <c r="B427" s="333">
        <v>401190</v>
      </c>
    </row>
    <row r="428" spans="1:2" x14ac:dyDescent="0.2">
      <c r="A428" s="344">
        <v>42964</v>
      </c>
      <c r="B428" s="333">
        <v>401569.72</v>
      </c>
    </row>
    <row r="429" spans="1:2" x14ac:dyDescent="0.2">
      <c r="A429" s="344">
        <v>42965</v>
      </c>
      <c r="B429" s="333">
        <v>403837.72</v>
      </c>
    </row>
    <row r="430" spans="1:2" x14ac:dyDescent="0.2">
      <c r="A430" s="344">
        <v>42968</v>
      </c>
      <c r="B430" s="333">
        <v>369495.17</v>
      </c>
    </row>
    <row r="431" spans="1:2" x14ac:dyDescent="0.2">
      <c r="A431" s="344">
        <v>42969</v>
      </c>
      <c r="B431" s="333">
        <v>379169.06</v>
      </c>
    </row>
    <row r="432" spans="1:2" x14ac:dyDescent="0.2">
      <c r="A432" s="344">
        <v>42970</v>
      </c>
      <c r="B432" s="333">
        <v>379169</v>
      </c>
    </row>
    <row r="433" spans="1:2" x14ac:dyDescent="0.2">
      <c r="A433" s="344">
        <v>42971</v>
      </c>
      <c r="B433" s="333">
        <v>372540.41</v>
      </c>
    </row>
    <row r="434" spans="1:2" x14ac:dyDescent="0.2">
      <c r="A434" s="344">
        <v>42972</v>
      </c>
      <c r="B434" s="333">
        <v>372540</v>
      </c>
    </row>
    <row r="435" spans="1:2" x14ac:dyDescent="0.2">
      <c r="A435" s="344">
        <v>42975</v>
      </c>
      <c r="B435" s="333">
        <v>372540</v>
      </c>
    </row>
    <row r="436" spans="1:2" x14ac:dyDescent="0.2">
      <c r="A436" s="344">
        <v>42976</v>
      </c>
      <c r="B436" s="333">
        <v>374625.25</v>
      </c>
    </row>
    <row r="437" spans="1:2" x14ac:dyDescent="0.2">
      <c r="A437" s="344">
        <v>42977</v>
      </c>
      <c r="B437" s="333">
        <v>382658.46</v>
      </c>
    </row>
    <row r="438" spans="1:2" x14ac:dyDescent="0.2">
      <c r="A438" s="344">
        <v>42978</v>
      </c>
      <c r="B438" s="333">
        <v>389160.26</v>
      </c>
    </row>
    <row r="439" spans="1:2" x14ac:dyDescent="0.2">
      <c r="A439" s="344">
        <v>42979</v>
      </c>
      <c r="B439" s="333">
        <v>389160</v>
      </c>
    </row>
    <row r="440" spans="1:2" x14ac:dyDescent="0.2">
      <c r="A440" s="344">
        <v>42982</v>
      </c>
      <c r="B440" s="333">
        <v>389160</v>
      </c>
    </row>
    <row r="441" spans="1:2" x14ac:dyDescent="0.2">
      <c r="A441" s="344">
        <v>42983</v>
      </c>
      <c r="B441" s="333">
        <v>352908.42</v>
      </c>
    </row>
    <row r="442" spans="1:2" x14ac:dyDescent="0.2">
      <c r="A442" s="344">
        <v>42984</v>
      </c>
      <c r="B442" s="333">
        <v>383959.41</v>
      </c>
    </row>
    <row r="443" spans="1:2" x14ac:dyDescent="0.2">
      <c r="A443" s="344">
        <v>42985</v>
      </c>
      <c r="B443" s="333">
        <v>403148.81</v>
      </c>
    </row>
    <row r="444" spans="1:2" x14ac:dyDescent="0.2">
      <c r="A444" s="344">
        <v>42986</v>
      </c>
      <c r="B444" s="333">
        <v>403344.11</v>
      </c>
    </row>
    <row r="445" spans="1:2" x14ac:dyDescent="0.2">
      <c r="A445" s="344">
        <v>42989</v>
      </c>
      <c r="B445" s="333">
        <v>403344</v>
      </c>
    </row>
    <row r="446" spans="1:2" x14ac:dyDescent="0.2">
      <c r="A446" s="344">
        <v>42990</v>
      </c>
      <c r="B446" s="333">
        <v>403344</v>
      </c>
    </row>
    <row r="447" spans="1:2" x14ac:dyDescent="0.2">
      <c r="A447" s="344">
        <v>42991</v>
      </c>
      <c r="B447" s="333">
        <v>403344</v>
      </c>
    </row>
    <row r="448" spans="1:2" x14ac:dyDescent="0.2">
      <c r="A448" s="344">
        <v>42992</v>
      </c>
      <c r="B448" s="333">
        <v>400016.8</v>
      </c>
    </row>
    <row r="449" spans="1:2" x14ac:dyDescent="0.2">
      <c r="A449" s="344">
        <v>42993</v>
      </c>
      <c r="B449" s="333">
        <v>400134.96</v>
      </c>
    </row>
    <row r="450" spans="1:2" x14ac:dyDescent="0.2">
      <c r="A450" s="344">
        <v>42996</v>
      </c>
      <c r="B450" s="333">
        <v>364805.11</v>
      </c>
    </row>
    <row r="451" spans="1:2" x14ac:dyDescent="0.2">
      <c r="A451" s="344">
        <v>42997</v>
      </c>
      <c r="B451" s="333">
        <v>364805</v>
      </c>
    </row>
    <row r="452" spans="1:2" x14ac:dyDescent="0.2">
      <c r="A452" s="344">
        <v>42998</v>
      </c>
      <c r="B452" s="333">
        <v>371804.33</v>
      </c>
    </row>
    <row r="453" spans="1:2" x14ac:dyDescent="0.2">
      <c r="A453" s="344">
        <v>42999</v>
      </c>
      <c r="B453" s="333">
        <v>370759.85</v>
      </c>
    </row>
    <row r="454" spans="1:2" x14ac:dyDescent="0.2">
      <c r="A454" s="344">
        <v>43000</v>
      </c>
      <c r="B454" s="333">
        <v>389878.66</v>
      </c>
    </row>
    <row r="455" spans="1:2" x14ac:dyDescent="0.2">
      <c r="A455" s="344">
        <v>43003</v>
      </c>
      <c r="B455" s="333">
        <v>393013.02</v>
      </c>
    </row>
    <row r="456" spans="1:2" x14ac:dyDescent="0.2">
      <c r="A456" s="344">
        <v>43004</v>
      </c>
      <c r="B456" s="333">
        <v>393593.22</v>
      </c>
    </row>
    <row r="457" spans="1:2" x14ac:dyDescent="0.2">
      <c r="A457" s="344">
        <v>43005</v>
      </c>
      <c r="B457" s="333">
        <v>393593</v>
      </c>
    </row>
    <row r="458" spans="1:2" x14ac:dyDescent="0.2">
      <c r="A458" s="344">
        <v>43006</v>
      </c>
      <c r="B458" s="333">
        <v>385433.95</v>
      </c>
    </row>
    <row r="459" spans="1:2" x14ac:dyDescent="0.2">
      <c r="A459" s="344">
        <v>43007</v>
      </c>
      <c r="B459" s="333">
        <v>385678.15</v>
      </c>
    </row>
    <row r="460" spans="1:2" x14ac:dyDescent="0.2">
      <c r="A460" s="344">
        <v>43010</v>
      </c>
      <c r="B460" s="333">
        <v>350949.28</v>
      </c>
    </row>
    <row r="461" spans="1:2" x14ac:dyDescent="0.2">
      <c r="A461" s="344">
        <v>43011</v>
      </c>
      <c r="B461" s="333">
        <v>352010.98</v>
      </c>
    </row>
    <row r="462" spans="1:2" x14ac:dyDescent="0.2">
      <c r="A462" s="344">
        <v>43012</v>
      </c>
      <c r="B462" s="333">
        <v>352011</v>
      </c>
    </row>
    <row r="463" spans="1:2" x14ac:dyDescent="0.2">
      <c r="A463" s="344">
        <v>43013</v>
      </c>
      <c r="B463" s="333">
        <v>348679</v>
      </c>
    </row>
    <row r="464" spans="1:2" x14ac:dyDescent="0.2">
      <c r="A464" s="344">
        <v>43014</v>
      </c>
      <c r="B464" s="333">
        <v>348679</v>
      </c>
    </row>
    <row r="465" spans="1:2" x14ac:dyDescent="0.2">
      <c r="A465" s="344">
        <v>43017</v>
      </c>
      <c r="B465" s="333">
        <v>348679</v>
      </c>
    </row>
    <row r="466" spans="1:2" x14ac:dyDescent="0.2">
      <c r="A466" s="344">
        <v>43018</v>
      </c>
      <c r="B466" s="333">
        <v>348679</v>
      </c>
    </row>
    <row r="467" spans="1:2" x14ac:dyDescent="0.2">
      <c r="A467" s="344">
        <v>43019</v>
      </c>
      <c r="B467" s="333">
        <v>348761.24</v>
      </c>
    </row>
    <row r="468" spans="1:2" x14ac:dyDescent="0.2">
      <c r="A468" s="344">
        <v>43020</v>
      </c>
      <c r="B468" s="333">
        <v>349998.26</v>
      </c>
    </row>
    <row r="469" spans="1:2" x14ac:dyDescent="0.2">
      <c r="A469" s="344">
        <v>43021</v>
      </c>
      <c r="B469" s="333">
        <v>370561.14</v>
      </c>
    </row>
    <row r="470" spans="1:2" x14ac:dyDescent="0.2">
      <c r="A470" s="344">
        <v>43024</v>
      </c>
      <c r="B470" s="333">
        <v>336220.14</v>
      </c>
    </row>
    <row r="471" spans="1:2" x14ac:dyDescent="0.2">
      <c r="A471" s="344">
        <v>43025</v>
      </c>
      <c r="B471" s="333">
        <v>336332.14</v>
      </c>
    </row>
    <row r="472" spans="1:2" x14ac:dyDescent="0.2">
      <c r="A472" s="344">
        <v>43026</v>
      </c>
      <c r="B472" s="333">
        <v>336332</v>
      </c>
    </row>
    <row r="473" spans="1:2" x14ac:dyDescent="0.2">
      <c r="A473" s="344">
        <v>43027</v>
      </c>
      <c r="B473" s="333">
        <v>339185.02</v>
      </c>
    </row>
    <row r="474" spans="1:2" x14ac:dyDescent="0.2">
      <c r="A474" s="344">
        <v>43028</v>
      </c>
      <c r="B474" s="333">
        <v>344936.35</v>
      </c>
    </row>
    <row r="475" spans="1:2" x14ac:dyDescent="0.2">
      <c r="A475" s="344">
        <v>43031</v>
      </c>
      <c r="B475" s="333">
        <v>344564.68</v>
      </c>
    </row>
    <row r="476" spans="1:2" x14ac:dyDescent="0.2">
      <c r="A476" s="344">
        <v>43032</v>
      </c>
      <c r="B476" s="333">
        <v>344565</v>
      </c>
    </row>
    <row r="477" spans="1:2" x14ac:dyDescent="0.2">
      <c r="A477" s="344">
        <v>43033</v>
      </c>
      <c r="B477" s="333">
        <v>344829.18</v>
      </c>
    </row>
    <row r="478" spans="1:2" x14ac:dyDescent="0.2">
      <c r="A478" s="344">
        <v>43034</v>
      </c>
      <c r="B478" s="333">
        <v>339942.05</v>
      </c>
    </row>
    <row r="479" spans="1:2" x14ac:dyDescent="0.2">
      <c r="A479" s="344">
        <v>43035</v>
      </c>
      <c r="B479" s="333">
        <v>360185.72</v>
      </c>
    </row>
    <row r="480" spans="1:2" x14ac:dyDescent="0.2">
      <c r="A480" s="344">
        <v>43038</v>
      </c>
      <c r="B480" s="333">
        <v>323067.73</v>
      </c>
    </row>
    <row r="481" spans="1:2" x14ac:dyDescent="0.2">
      <c r="A481" s="344">
        <v>43039</v>
      </c>
      <c r="B481" s="333">
        <v>323197.73</v>
      </c>
    </row>
    <row r="482" spans="1:2" x14ac:dyDescent="0.2">
      <c r="A482" s="344">
        <v>43040</v>
      </c>
      <c r="B482" s="333">
        <v>323198</v>
      </c>
    </row>
    <row r="483" spans="1:2" x14ac:dyDescent="0.2">
      <c r="A483" s="344">
        <v>43041</v>
      </c>
      <c r="B483" s="333">
        <v>341044.7</v>
      </c>
    </row>
    <row r="484" spans="1:2" x14ac:dyDescent="0.2">
      <c r="A484" s="344">
        <v>43042</v>
      </c>
      <c r="B484" s="333">
        <v>341676.17</v>
      </c>
    </row>
    <row r="485" spans="1:2" x14ac:dyDescent="0.2">
      <c r="A485" s="344">
        <v>43045</v>
      </c>
      <c r="B485" s="333">
        <v>341676</v>
      </c>
    </row>
    <row r="486" spans="1:2" x14ac:dyDescent="0.2">
      <c r="A486" s="344">
        <v>43046</v>
      </c>
      <c r="B486" s="333">
        <v>341676</v>
      </c>
    </row>
    <row r="487" spans="1:2" x14ac:dyDescent="0.2">
      <c r="A487" s="344">
        <v>43047</v>
      </c>
      <c r="B487" s="333">
        <v>379863.97</v>
      </c>
    </row>
    <row r="488" spans="1:2" x14ac:dyDescent="0.2">
      <c r="A488" s="344">
        <v>43048</v>
      </c>
      <c r="B488" s="333">
        <v>378842.06</v>
      </c>
    </row>
    <row r="489" spans="1:2" x14ac:dyDescent="0.2">
      <c r="A489" s="344">
        <v>43049</v>
      </c>
      <c r="B489" s="333">
        <v>378842</v>
      </c>
    </row>
    <row r="490" spans="1:2" x14ac:dyDescent="0.2">
      <c r="A490" s="344">
        <v>43052</v>
      </c>
      <c r="B490" s="333">
        <v>340784.14</v>
      </c>
    </row>
    <row r="491" spans="1:2" x14ac:dyDescent="0.2">
      <c r="A491" s="344">
        <v>43053</v>
      </c>
      <c r="B491" s="333">
        <v>340784</v>
      </c>
    </row>
    <row r="492" spans="1:2" x14ac:dyDescent="0.2">
      <c r="A492" s="344">
        <v>43054</v>
      </c>
      <c r="B492" s="333">
        <v>340895.76</v>
      </c>
    </row>
    <row r="493" spans="1:2" x14ac:dyDescent="0.2">
      <c r="A493" s="344">
        <v>43055</v>
      </c>
      <c r="B493" s="333">
        <v>354246.44</v>
      </c>
    </row>
    <row r="494" spans="1:2" x14ac:dyDescent="0.2">
      <c r="A494" s="344">
        <v>43056</v>
      </c>
      <c r="B494" s="333">
        <v>354246.44</v>
      </c>
    </row>
    <row r="495" spans="1:2" x14ac:dyDescent="0.2">
      <c r="A495" s="344">
        <v>43059</v>
      </c>
      <c r="B495" s="333">
        <v>354264.44</v>
      </c>
    </row>
    <row r="496" spans="1:2" x14ac:dyDescent="0.2">
      <c r="A496" s="344">
        <v>43060</v>
      </c>
      <c r="B496" s="333">
        <v>354264</v>
      </c>
    </row>
    <row r="497" spans="1:2" x14ac:dyDescent="0.2">
      <c r="A497" s="344">
        <v>43061</v>
      </c>
      <c r="B497" s="333">
        <v>357804.55</v>
      </c>
    </row>
    <row r="498" spans="1:2" x14ac:dyDescent="0.2">
      <c r="A498" s="344">
        <v>43062</v>
      </c>
      <c r="B498" s="333">
        <v>357805</v>
      </c>
    </row>
    <row r="499" spans="1:2" x14ac:dyDescent="0.2">
      <c r="A499" s="344">
        <v>43063</v>
      </c>
      <c r="B499" s="333">
        <v>361119.05</v>
      </c>
    </row>
    <row r="500" spans="1:2" x14ac:dyDescent="0.2">
      <c r="A500" s="344">
        <v>43066</v>
      </c>
      <c r="B500" s="333">
        <v>318415.71000000002</v>
      </c>
    </row>
    <row r="501" spans="1:2" x14ac:dyDescent="0.2">
      <c r="A501" s="344">
        <v>43067</v>
      </c>
      <c r="B501" s="333">
        <v>320237.53999999998</v>
      </c>
    </row>
    <row r="502" spans="1:2" x14ac:dyDescent="0.2">
      <c r="A502" s="344">
        <v>43068</v>
      </c>
      <c r="B502" s="333">
        <v>320237.53999999998</v>
      </c>
    </row>
    <row r="503" spans="1:2" x14ac:dyDescent="0.2">
      <c r="A503" s="344">
        <v>43069</v>
      </c>
      <c r="B503" s="333">
        <v>325286.46999999997</v>
      </c>
    </row>
    <row r="504" spans="1:2" x14ac:dyDescent="0.2">
      <c r="A504" s="344">
        <v>43070</v>
      </c>
      <c r="B504" s="333">
        <v>334247.03000000003</v>
      </c>
    </row>
    <row r="505" spans="1:2" x14ac:dyDescent="0.2">
      <c r="A505" s="344">
        <v>43073</v>
      </c>
      <c r="B505" s="333">
        <v>334247</v>
      </c>
    </row>
    <row r="506" spans="1:2" x14ac:dyDescent="0.2">
      <c r="A506" s="344">
        <v>43074</v>
      </c>
      <c r="B506" s="333">
        <v>334247.03000000003</v>
      </c>
    </row>
    <row r="507" spans="1:2" x14ac:dyDescent="0.2">
      <c r="A507" s="344">
        <v>43075</v>
      </c>
      <c r="B507" s="333">
        <v>334247</v>
      </c>
    </row>
    <row r="508" spans="1:2" x14ac:dyDescent="0.2">
      <c r="A508" s="344">
        <v>43076</v>
      </c>
      <c r="B508" s="333">
        <v>323171.46000000002</v>
      </c>
    </row>
    <row r="509" spans="1:2" x14ac:dyDescent="0.2">
      <c r="A509" s="344">
        <v>43077</v>
      </c>
      <c r="B509" s="333">
        <v>324229.90999999997</v>
      </c>
    </row>
    <row r="510" spans="1:2" x14ac:dyDescent="0.2">
      <c r="A510" s="344">
        <v>43080</v>
      </c>
      <c r="B510" s="333">
        <v>324230</v>
      </c>
    </row>
    <row r="511" spans="1:2" x14ac:dyDescent="0.2">
      <c r="A511" s="344">
        <v>43081</v>
      </c>
      <c r="B511" s="333">
        <v>286030.39</v>
      </c>
    </row>
    <row r="512" spans="1:2" x14ac:dyDescent="0.2">
      <c r="A512" s="344">
        <v>43082</v>
      </c>
      <c r="B512" s="333">
        <v>286197.44</v>
      </c>
    </row>
    <row r="513" spans="1:14" x14ac:dyDescent="0.2">
      <c r="A513" s="344">
        <v>43083</v>
      </c>
      <c r="B513" s="333">
        <v>280065.2</v>
      </c>
    </row>
    <row r="514" spans="1:14" x14ac:dyDescent="0.2">
      <c r="A514" s="344">
        <v>43084</v>
      </c>
      <c r="B514" s="333">
        <v>284409.09999999998</v>
      </c>
    </row>
    <row r="515" spans="1:14" x14ac:dyDescent="0.2">
      <c r="A515" s="344">
        <v>43087</v>
      </c>
      <c r="B515" s="333">
        <v>285119.09999999998</v>
      </c>
    </row>
    <row r="516" spans="1:14" x14ac:dyDescent="0.2">
      <c r="A516" s="344">
        <v>43088</v>
      </c>
      <c r="B516" s="333">
        <v>285395.49</v>
      </c>
    </row>
    <row r="517" spans="1:14" x14ac:dyDescent="0.2">
      <c r="A517" s="344">
        <v>43089</v>
      </c>
      <c r="B517" s="333">
        <v>285395</v>
      </c>
    </row>
    <row r="518" spans="1:14" x14ac:dyDescent="0.2">
      <c r="A518" s="344">
        <v>43090</v>
      </c>
      <c r="B518" s="333">
        <v>285542.49</v>
      </c>
    </row>
    <row r="519" spans="1:14" x14ac:dyDescent="0.2">
      <c r="A519" s="344">
        <v>43091</v>
      </c>
      <c r="B519" s="333">
        <v>285542</v>
      </c>
    </row>
    <row r="520" spans="1:14" x14ac:dyDescent="0.2">
      <c r="A520" s="344">
        <v>43094</v>
      </c>
      <c r="B520" s="333">
        <v>285542</v>
      </c>
    </row>
    <row r="521" spans="1:14" x14ac:dyDescent="0.2">
      <c r="A521" s="344">
        <v>43095</v>
      </c>
      <c r="B521" s="333">
        <v>248584.72</v>
      </c>
    </row>
    <row r="522" spans="1:14" x14ac:dyDescent="0.2">
      <c r="A522" s="344">
        <v>43096</v>
      </c>
      <c r="B522" s="333">
        <v>248585</v>
      </c>
    </row>
    <row r="523" spans="1:14" x14ac:dyDescent="0.2">
      <c r="A523" s="344">
        <v>43097</v>
      </c>
      <c r="B523" s="333">
        <v>270685.83</v>
      </c>
    </row>
    <row r="524" spans="1:14" x14ac:dyDescent="0.2">
      <c r="A524" s="344">
        <v>43098</v>
      </c>
      <c r="B524" s="333">
        <v>282558.58</v>
      </c>
    </row>
    <row r="525" spans="1:14" x14ac:dyDescent="0.2">
      <c r="A525" s="344">
        <v>43101</v>
      </c>
      <c r="B525" s="333">
        <v>282559</v>
      </c>
      <c r="F525" s="320"/>
      <c r="G525" t="s">
        <v>180</v>
      </c>
      <c r="H525" t="s">
        <v>205</v>
      </c>
      <c r="J525" t="s">
        <v>345</v>
      </c>
      <c r="K525" t="s">
        <v>205</v>
      </c>
      <c r="N525">
        <v>0.06</v>
      </c>
    </row>
    <row r="526" spans="1:14" x14ac:dyDescent="0.2">
      <c r="A526" s="344">
        <v>43102</v>
      </c>
      <c r="B526" s="333">
        <v>282508.58</v>
      </c>
      <c r="F526" s="320">
        <v>42370</v>
      </c>
      <c r="G526" s="125">
        <v>369484</v>
      </c>
      <c r="H526" s="164">
        <v>31036</v>
      </c>
      <c r="J526" s="320">
        <v>42461</v>
      </c>
      <c r="K526" s="164">
        <v>151036</v>
      </c>
      <c r="N526" s="464">
        <f>K526*N525/12 +K526</f>
        <v>151791.18</v>
      </c>
    </row>
    <row r="527" spans="1:14" x14ac:dyDescent="0.2">
      <c r="A527" s="344">
        <v>43103</v>
      </c>
      <c r="B527" s="333">
        <v>282509</v>
      </c>
      <c r="F527" s="320">
        <v>42401</v>
      </c>
      <c r="G527" s="125">
        <v>295493.53000000003</v>
      </c>
      <c r="H527" s="164">
        <v>31035.72</v>
      </c>
      <c r="J527" s="320">
        <v>42491</v>
      </c>
      <c r="K527" s="164">
        <v>151087.09</v>
      </c>
      <c r="N527" s="464">
        <f>N$525*N526/12 +N526</f>
        <v>152550.13589999999</v>
      </c>
    </row>
    <row r="528" spans="1:14" x14ac:dyDescent="0.2">
      <c r="A528" s="344">
        <v>43104</v>
      </c>
      <c r="B528" s="333">
        <v>283213.14</v>
      </c>
      <c r="F528" s="320">
        <v>42430</v>
      </c>
      <c r="G528" s="125">
        <v>255865.07</v>
      </c>
      <c r="H528" s="164">
        <v>151035.72</v>
      </c>
      <c r="J528" s="320">
        <v>42551</v>
      </c>
      <c r="K528" s="164">
        <v>151336.84</v>
      </c>
      <c r="N528" s="464">
        <f t="shared" ref="N528:N591" si="3">N$525*N527/12 +N527</f>
        <v>153312.88657949999</v>
      </c>
    </row>
    <row r="529" spans="1:14" x14ac:dyDescent="0.2">
      <c r="A529" s="344">
        <v>43105</v>
      </c>
      <c r="B529" s="333">
        <v>297779.06</v>
      </c>
      <c r="F529" s="320">
        <v>42461</v>
      </c>
      <c r="G529" s="125">
        <v>294098.96000000002</v>
      </c>
      <c r="H529" s="164">
        <v>151036</v>
      </c>
      <c r="J529" s="320">
        <v>42582</v>
      </c>
      <c r="K529" s="164">
        <v>151611.29999999999</v>
      </c>
      <c r="N529" s="464">
        <f t="shared" si="3"/>
        <v>154079.45101239748</v>
      </c>
    </row>
    <row r="530" spans="1:14" x14ac:dyDescent="0.2">
      <c r="A530" s="344">
        <v>43108</v>
      </c>
      <c r="B530" s="333">
        <v>263886.2</v>
      </c>
      <c r="F530" s="320">
        <v>42491</v>
      </c>
      <c r="G530" s="125">
        <v>333922.02</v>
      </c>
      <c r="H530" s="164">
        <v>151087.09</v>
      </c>
      <c r="J530" s="320">
        <v>42583</v>
      </c>
      <c r="K530" s="164">
        <v>151776.70000000001</v>
      </c>
      <c r="N530" s="464">
        <f t="shared" si="3"/>
        <v>154849.84826745946</v>
      </c>
    </row>
    <row r="531" spans="1:14" x14ac:dyDescent="0.2">
      <c r="A531" s="344">
        <v>43109</v>
      </c>
      <c r="B531" s="333">
        <v>277030.96999999997</v>
      </c>
      <c r="F531" s="320">
        <v>42551</v>
      </c>
      <c r="G531" s="125">
        <v>384005.8</v>
      </c>
      <c r="H531" s="164">
        <v>151336.84</v>
      </c>
      <c r="J531" s="320">
        <v>42614</v>
      </c>
      <c r="K531" s="164">
        <v>151844.44</v>
      </c>
      <c r="N531" s="464">
        <f t="shared" si="3"/>
        <v>155624.09750879675</v>
      </c>
    </row>
    <row r="532" spans="1:14" x14ac:dyDescent="0.2">
      <c r="A532" s="344">
        <v>43110</v>
      </c>
      <c r="B532" s="333">
        <v>277031</v>
      </c>
      <c r="F532" s="320">
        <v>42582</v>
      </c>
      <c r="G532" s="125">
        <v>292004.15999999997</v>
      </c>
      <c r="H532" s="164">
        <v>151611.29999999999</v>
      </c>
      <c r="J532" s="320">
        <v>42644</v>
      </c>
      <c r="K532" s="164">
        <v>152036.04</v>
      </c>
      <c r="N532" s="464">
        <f t="shared" si="3"/>
        <v>156402.21799634074</v>
      </c>
    </row>
    <row r="533" spans="1:14" x14ac:dyDescent="0.2">
      <c r="A533" s="344">
        <v>43111</v>
      </c>
      <c r="B533" s="333">
        <v>281394.14</v>
      </c>
      <c r="F533" s="320">
        <v>42583</v>
      </c>
      <c r="G533" s="125">
        <v>182562.29</v>
      </c>
      <c r="H533" s="164">
        <v>151776.70000000001</v>
      </c>
      <c r="J533" s="320">
        <v>42675</v>
      </c>
      <c r="K533" s="164">
        <v>152464.91</v>
      </c>
      <c r="N533" s="464">
        <f t="shared" si="3"/>
        <v>157184.22908632245</v>
      </c>
    </row>
    <row r="534" spans="1:14" x14ac:dyDescent="0.2">
      <c r="A534" s="344">
        <v>43112</v>
      </c>
      <c r="B534" s="333">
        <v>281470.18</v>
      </c>
      <c r="F534" s="320">
        <v>42614</v>
      </c>
      <c r="G534" s="125">
        <v>242442.87</v>
      </c>
      <c r="H534" s="164">
        <v>151844.44</v>
      </c>
      <c r="J534" s="320">
        <v>42705</v>
      </c>
      <c r="K534" s="164">
        <v>154533.13</v>
      </c>
      <c r="N534" s="464">
        <f t="shared" si="3"/>
        <v>157970.15023175406</v>
      </c>
    </row>
    <row r="535" spans="1:14" x14ac:dyDescent="0.2">
      <c r="A535" s="344">
        <v>43115</v>
      </c>
      <c r="B535" s="333">
        <v>281470</v>
      </c>
      <c r="F535" s="320">
        <v>42644</v>
      </c>
      <c r="G535" s="125">
        <v>247104.37</v>
      </c>
      <c r="H535" s="164">
        <v>152036.04</v>
      </c>
      <c r="J535" s="320">
        <v>42736</v>
      </c>
      <c r="K535" s="164">
        <v>155633.59</v>
      </c>
      <c r="N535" s="464">
        <f t="shared" si="3"/>
        <v>158760.00098291284</v>
      </c>
    </row>
    <row r="536" spans="1:14" x14ac:dyDescent="0.2">
      <c r="A536" s="344">
        <v>43116</v>
      </c>
      <c r="B536" s="333">
        <v>284325.94</v>
      </c>
      <c r="F536" s="320">
        <v>42675</v>
      </c>
      <c r="G536" s="125">
        <v>246462.95</v>
      </c>
      <c r="H536" s="164">
        <v>152464.91</v>
      </c>
      <c r="J536" s="320">
        <v>42767</v>
      </c>
      <c r="K536" s="164">
        <v>158448.25</v>
      </c>
      <c r="N536" s="464">
        <f t="shared" si="3"/>
        <v>159553.80098782742</v>
      </c>
    </row>
    <row r="537" spans="1:14" x14ac:dyDescent="0.2">
      <c r="A537" s="344">
        <v>43117</v>
      </c>
      <c r="B537" s="333">
        <v>305911.78000000003</v>
      </c>
      <c r="F537" s="320">
        <v>42705</v>
      </c>
      <c r="G537" s="125">
        <v>249839.51</v>
      </c>
      <c r="H537" s="164">
        <v>154533.13</v>
      </c>
      <c r="J537" s="320">
        <v>42795</v>
      </c>
      <c r="K537" s="164">
        <v>159113.29</v>
      </c>
      <c r="N537" s="464">
        <f t="shared" si="3"/>
        <v>160351.56999276654</v>
      </c>
    </row>
    <row r="538" spans="1:14" x14ac:dyDescent="0.2">
      <c r="A538" s="344">
        <v>43118</v>
      </c>
      <c r="B538" s="333">
        <v>305752.93</v>
      </c>
      <c r="F538" s="320">
        <v>42736</v>
      </c>
      <c r="G538" s="125">
        <v>351420</v>
      </c>
      <c r="H538" s="164">
        <v>155633.59</v>
      </c>
      <c r="J538" s="320">
        <v>42826</v>
      </c>
      <c r="K538" s="164">
        <v>159614.53</v>
      </c>
      <c r="N538" s="464">
        <f t="shared" si="3"/>
        <v>161153.32784273036</v>
      </c>
    </row>
    <row r="539" spans="1:14" x14ac:dyDescent="0.2">
      <c r="A539" s="344">
        <v>43119</v>
      </c>
      <c r="B539" s="333">
        <v>332730.14</v>
      </c>
      <c r="F539" s="320">
        <v>42767</v>
      </c>
      <c r="G539" s="125">
        <v>253330</v>
      </c>
      <c r="H539" s="164">
        <v>158448.25</v>
      </c>
      <c r="J539" s="320">
        <v>42856</v>
      </c>
      <c r="K539" s="164">
        <v>160436.21</v>
      </c>
      <c r="N539" s="464">
        <f t="shared" si="3"/>
        <v>161959.09448194402</v>
      </c>
    </row>
    <row r="540" spans="1:14" x14ac:dyDescent="0.2">
      <c r="A540" s="344">
        <v>43122</v>
      </c>
      <c r="B540" s="333">
        <v>291419.49</v>
      </c>
      <c r="F540" s="320">
        <v>42795</v>
      </c>
      <c r="G540" s="125">
        <v>280744</v>
      </c>
      <c r="H540" s="164">
        <v>159113.29</v>
      </c>
      <c r="J540" s="320">
        <v>42887</v>
      </c>
      <c r="K540" s="164">
        <v>160443.22</v>
      </c>
      <c r="N540" s="464">
        <f t="shared" si="3"/>
        <v>162768.88995435374</v>
      </c>
    </row>
    <row r="541" spans="1:14" x14ac:dyDescent="0.2">
      <c r="A541" s="344">
        <v>43123</v>
      </c>
      <c r="B541" s="333">
        <v>293419.65000000002</v>
      </c>
      <c r="F541" s="320">
        <v>42826</v>
      </c>
      <c r="G541" s="125">
        <v>319478.15999999997</v>
      </c>
      <c r="H541" s="164">
        <v>159614.53</v>
      </c>
      <c r="J541" s="320">
        <v>42917</v>
      </c>
      <c r="K541" s="164">
        <v>161526.35999999999</v>
      </c>
      <c r="N541" s="464">
        <f t="shared" si="3"/>
        <v>163582.73440412551</v>
      </c>
    </row>
    <row r="542" spans="1:14" x14ac:dyDescent="0.2">
      <c r="A542" s="344">
        <v>43124</v>
      </c>
      <c r="B542" s="333">
        <v>293420</v>
      </c>
      <c r="F542" s="320">
        <v>42856</v>
      </c>
      <c r="G542" s="125">
        <v>241828.1</v>
      </c>
      <c r="H542" s="164">
        <v>160436.21</v>
      </c>
      <c r="J542" s="320">
        <v>42948</v>
      </c>
      <c r="K542" s="164">
        <v>162013.01</v>
      </c>
      <c r="N542" s="464">
        <f t="shared" si="3"/>
        <v>164400.64807614614</v>
      </c>
    </row>
    <row r="543" spans="1:14" x14ac:dyDescent="0.2">
      <c r="A543" s="344">
        <v>43125</v>
      </c>
      <c r="B543" s="333">
        <v>301331.82</v>
      </c>
      <c r="F543" s="320">
        <v>42887</v>
      </c>
      <c r="G543" s="125">
        <v>248981.18</v>
      </c>
      <c r="H543" s="164">
        <v>160443.22</v>
      </c>
      <c r="J543" s="320">
        <v>42979</v>
      </c>
      <c r="K543" s="164">
        <v>163493.49</v>
      </c>
      <c r="M543" s="164"/>
      <c r="N543" s="464">
        <f t="shared" si="3"/>
        <v>165222.65131652687</v>
      </c>
    </row>
    <row r="544" spans="1:14" x14ac:dyDescent="0.2">
      <c r="A544" s="344">
        <v>43126</v>
      </c>
      <c r="B544" s="333">
        <v>327084.28999999998</v>
      </c>
      <c r="F544" s="320">
        <v>42917</v>
      </c>
      <c r="G544" s="125">
        <v>268937.63</v>
      </c>
      <c r="H544" s="164">
        <v>161526.35999999999</v>
      </c>
      <c r="J544" s="320">
        <v>43009</v>
      </c>
      <c r="K544" s="164">
        <v>164090.28</v>
      </c>
      <c r="M544" s="148"/>
      <c r="N544" s="464">
        <f t="shared" si="3"/>
        <v>166048.76457310951</v>
      </c>
    </row>
    <row r="545" spans="1:14" x14ac:dyDescent="0.2">
      <c r="A545" s="344">
        <v>43129</v>
      </c>
      <c r="B545" s="333">
        <v>327084</v>
      </c>
      <c r="F545" s="320">
        <v>42948</v>
      </c>
      <c r="G545" s="125">
        <v>198251.6</v>
      </c>
      <c r="H545" s="164">
        <v>162013.01</v>
      </c>
      <c r="J545" s="320">
        <v>43040</v>
      </c>
      <c r="K545" s="164">
        <v>164908.01</v>
      </c>
      <c r="M545" s="148"/>
      <c r="N545" s="464">
        <f t="shared" si="3"/>
        <v>166879.00839597505</v>
      </c>
    </row>
    <row r="546" spans="1:14" x14ac:dyDescent="0.2">
      <c r="A546" s="344">
        <v>43130</v>
      </c>
      <c r="B546" s="333">
        <v>327084</v>
      </c>
      <c r="F546" s="320">
        <v>42979</v>
      </c>
      <c r="G546" s="125">
        <v>178964.63</v>
      </c>
      <c r="H546" s="164">
        <v>163493.49</v>
      </c>
      <c r="J546" s="320">
        <v>43070</v>
      </c>
      <c r="K546" s="164">
        <v>164937.87</v>
      </c>
      <c r="M546" s="148"/>
      <c r="N546" s="464">
        <f t="shared" si="3"/>
        <v>167713.40343795493</v>
      </c>
    </row>
    <row r="547" spans="1:14" x14ac:dyDescent="0.2">
      <c r="A547" s="344">
        <v>43131</v>
      </c>
      <c r="B547" s="333">
        <v>337130.63</v>
      </c>
      <c r="F547" s="320">
        <v>43009</v>
      </c>
      <c r="G547" s="125">
        <v>199171.39</v>
      </c>
      <c r="H547" s="164">
        <v>164090.28</v>
      </c>
      <c r="J547" s="320">
        <v>43101</v>
      </c>
      <c r="K547" s="164">
        <v>167966.33</v>
      </c>
      <c r="M547" s="148"/>
      <c r="N547" s="464">
        <f t="shared" si="3"/>
        <v>168551.97045514471</v>
      </c>
    </row>
    <row r="548" spans="1:14" x14ac:dyDescent="0.2">
      <c r="A548" s="344">
        <v>43132</v>
      </c>
      <c r="B548" s="333">
        <v>334292.59999999998</v>
      </c>
      <c r="F548" s="320">
        <v>43040</v>
      </c>
      <c r="G548" s="125">
        <v>180584.58</v>
      </c>
      <c r="H548" s="164">
        <v>164908.01</v>
      </c>
      <c r="J548" s="320">
        <v>43132</v>
      </c>
      <c r="K548" s="164">
        <v>164746.72</v>
      </c>
      <c r="M548" s="148"/>
      <c r="N548" s="464">
        <f t="shared" si="3"/>
        <v>169394.73030742042</v>
      </c>
    </row>
    <row r="549" spans="1:14" x14ac:dyDescent="0.2">
      <c r="A549" s="344">
        <v>43133</v>
      </c>
      <c r="B549" s="333">
        <v>335977.23</v>
      </c>
      <c r="F549" s="320">
        <v>43070</v>
      </c>
      <c r="G549" s="125">
        <v>258260.86</v>
      </c>
      <c r="H549" s="164">
        <v>164937.87</v>
      </c>
      <c r="J549" s="320">
        <v>43160</v>
      </c>
      <c r="K549" s="164">
        <v>163400.39000000001</v>
      </c>
      <c r="N549" s="464">
        <f t="shared" si="3"/>
        <v>170241.70395895751</v>
      </c>
    </row>
    <row r="550" spans="1:14" x14ac:dyDescent="0.2">
      <c r="A550" s="344">
        <v>43136</v>
      </c>
      <c r="B550" s="333">
        <v>300614.99</v>
      </c>
      <c r="F550" s="320">
        <v>43101</v>
      </c>
      <c r="G550" s="125">
        <v>297556.56</v>
      </c>
      <c r="H550" s="164">
        <v>167966.33</v>
      </c>
      <c r="J550" s="320">
        <v>43191</v>
      </c>
      <c r="K550" s="164">
        <v>163874.63</v>
      </c>
      <c r="N550" s="464">
        <f t="shared" si="3"/>
        <v>171092.91247875229</v>
      </c>
    </row>
    <row r="551" spans="1:14" x14ac:dyDescent="0.2">
      <c r="A551" s="344">
        <v>43137</v>
      </c>
      <c r="B551" s="333">
        <v>295509.53999999998</v>
      </c>
      <c r="F551" s="320">
        <v>43132</v>
      </c>
      <c r="G551" s="125">
        <v>287550</v>
      </c>
      <c r="H551" s="164">
        <v>164746.72</v>
      </c>
      <c r="J551" s="320">
        <v>43221</v>
      </c>
      <c r="K551" s="164">
        <v>165109.67000000001</v>
      </c>
      <c r="N551" s="464">
        <f t="shared" si="3"/>
        <v>171948.37704114604</v>
      </c>
    </row>
    <row r="552" spans="1:14" x14ac:dyDescent="0.2">
      <c r="A552" s="344">
        <v>43138</v>
      </c>
      <c r="B552" s="333">
        <v>295510</v>
      </c>
      <c r="F552" s="320">
        <v>43160</v>
      </c>
      <c r="G552" s="125">
        <v>277699.34999999998</v>
      </c>
      <c r="H552" s="164">
        <v>163400.39000000001</v>
      </c>
      <c r="J552" s="320">
        <v>43252</v>
      </c>
      <c r="K552" s="164">
        <v>164894.5</v>
      </c>
      <c r="M552" s="164"/>
      <c r="N552" s="464">
        <f t="shared" si="3"/>
        <v>172808.11892635177</v>
      </c>
    </row>
    <row r="553" spans="1:14" x14ac:dyDescent="0.2">
      <c r="A553" s="344">
        <v>43139</v>
      </c>
      <c r="B553" s="333">
        <v>295623.09999999998</v>
      </c>
      <c r="F553" s="320">
        <v>43191</v>
      </c>
      <c r="G553" s="125">
        <v>310068.02</v>
      </c>
      <c r="H553" s="164">
        <v>163874.63</v>
      </c>
      <c r="J553" s="320">
        <v>43282</v>
      </c>
      <c r="K553" s="164">
        <v>168308.43</v>
      </c>
      <c r="N553" s="464">
        <f t="shared" si="3"/>
        <v>173672.15952098352</v>
      </c>
    </row>
    <row r="554" spans="1:14" x14ac:dyDescent="0.2">
      <c r="A554" s="344">
        <v>43140</v>
      </c>
      <c r="B554" s="333">
        <v>295623</v>
      </c>
      <c r="F554" s="320">
        <v>43221</v>
      </c>
      <c r="G554" s="125">
        <v>338828.68</v>
      </c>
      <c r="H554" s="164">
        <v>165109.67000000001</v>
      </c>
      <c r="J554" s="320">
        <v>43313</v>
      </c>
      <c r="K554" s="164">
        <v>169314.31</v>
      </c>
      <c r="M554" s="125"/>
      <c r="N554" s="464">
        <f t="shared" si="3"/>
        <v>174540.52031858845</v>
      </c>
    </row>
    <row r="555" spans="1:14" x14ac:dyDescent="0.2">
      <c r="A555" s="344">
        <v>43143</v>
      </c>
      <c r="B555" s="333">
        <v>299232.09999999998</v>
      </c>
      <c r="F555" s="320">
        <v>43252</v>
      </c>
      <c r="G555" s="125">
        <v>316601.96000000002</v>
      </c>
      <c r="H555" s="164">
        <v>164894.5</v>
      </c>
      <c r="J555" s="320">
        <v>43344</v>
      </c>
      <c r="K555" s="164">
        <v>170138.99</v>
      </c>
      <c r="N555" s="464">
        <f t="shared" si="3"/>
        <v>175413.22292018138</v>
      </c>
    </row>
    <row r="556" spans="1:14" x14ac:dyDescent="0.2">
      <c r="A556" s="344">
        <v>43144</v>
      </c>
      <c r="B556" s="333">
        <v>304422.01</v>
      </c>
      <c r="F556" s="320">
        <v>43282</v>
      </c>
      <c r="G556" s="125">
        <v>282196.90999999997</v>
      </c>
      <c r="H556" s="164">
        <v>168308.43</v>
      </c>
      <c r="J556" s="320">
        <v>43374</v>
      </c>
      <c r="K556" s="164">
        <v>164332.01</v>
      </c>
      <c r="M556" s="254"/>
      <c r="N556" s="464">
        <f t="shared" si="3"/>
        <v>176290.28903478227</v>
      </c>
    </row>
    <row r="557" spans="1:14" x14ac:dyDescent="0.2">
      <c r="A557" s="344">
        <v>43145</v>
      </c>
      <c r="B557" s="333">
        <v>330191.24</v>
      </c>
      <c r="F557" s="320">
        <v>43313</v>
      </c>
      <c r="G557" s="125">
        <v>287391.71999999997</v>
      </c>
      <c r="H557" s="164">
        <v>169314.31</v>
      </c>
      <c r="J557" s="320">
        <v>43405</v>
      </c>
      <c r="K557" s="164">
        <v>166031.76999999999</v>
      </c>
      <c r="N557" s="464">
        <f t="shared" si="3"/>
        <v>177171.74047995618</v>
      </c>
    </row>
    <row r="558" spans="1:14" x14ac:dyDescent="0.2">
      <c r="A558" s="344">
        <v>43146</v>
      </c>
      <c r="B558" s="333">
        <v>313471.64</v>
      </c>
      <c r="F558" s="320">
        <v>43344</v>
      </c>
      <c r="G558" s="125">
        <v>327095.84000000003</v>
      </c>
      <c r="H558" s="164">
        <v>170138.99</v>
      </c>
      <c r="J558" s="320">
        <v>43435</v>
      </c>
      <c r="K558" s="164">
        <v>159621.23000000001</v>
      </c>
      <c r="N558" s="464">
        <f t="shared" si="3"/>
        <v>178057.59918235595</v>
      </c>
    </row>
    <row r="559" spans="1:14" x14ac:dyDescent="0.2">
      <c r="A559" s="344">
        <v>43147</v>
      </c>
      <c r="B559" s="333">
        <v>313472</v>
      </c>
      <c r="F559" s="320">
        <v>43374</v>
      </c>
      <c r="G559" s="125">
        <v>233504.28</v>
      </c>
      <c r="H559" s="164">
        <v>164332.01</v>
      </c>
      <c r="J559" s="320">
        <v>43466</v>
      </c>
      <c r="K559" s="164">
        <v>166873.93</v>
      </c>
      <c r="N559" s="464">
        <f t="shared" si="3"/>
        <v>178947.88717826773</v>
      </c>
    </row>
    <row r="560" spans="1:14" x14ac:dyDescent="0.2">
      <c r="A560" s="344">
        <v>43150</v>
      </c>
      <c r="B560" s="333">
        <v>313472</v>
      </c>
      <c r="F560" s="320">
        <v>43405</v>
      </c>
      <c r="G560" s="125">
        <v>166530.44</v>
      </c>
      <c r="H560" s="164">
        <v>166031.76999999999</v>
      </c>
      <c r="J560" s="320">
        <v>43497</v>
      </c>
      <c r="K560" s="164">
        <v>170486.28</v>
      </c>
      <c r="N560" s="464">
        <f t="shared" si="3"/>
        <v>179842.62661415906</v>
      </c>
    </row>
    <row r="561" spans="1:14" x14ac:dyDescent="0.2">
      <c r="A561" s="344">
        <v>43151</v>
      </c>
      <c r="B561" s="333">
        <v>277471.58</v>
      </c>
      <c r="F561" s="320">
        <v>43435</v>
      </c>
      <c r="G561" s="125">
        <v>245292.72</v>
      </c>
      <c r="H561" s="164">
        <v>159621.23000000001</v>
      </c>
      <c r="J561" s="320">
        <v>43525</v>
      </c>
      <c r="K561" s="164">
        <v>171537.16</v>
      </c>
      <c r="N561" s="464">
        <f t="shared" si="3"/>
        <v>180741.83974722985</v>
      </c>
    </row>
    <row r="562" spans="1:14" x14ac:dyDescent="0.2">
      <c r="A562" s="344">
        <v>43152</v>
      </c>
      <c r="B562" s="333">
        <v>287526.92</v>
      </c>
      <c r="F562" s="320">
        <v>43466</v>
      </c>
      <c r="G562" s="125">
        <v>322895</v>
      </c>
      <c r="H562" s="164">
        <v>166873.93</v>
      </c>
      <c r="J562" s="320">
        <v>43556</v>
      </c>
      <c r="K562" s="164">
        <v>174601.21</v>
      </c>
      <c r="N562" s="464">
        <f t="shared" si="3"/>
        <v>181645.548945966</v>
      </c>
    </row>
    <row r="563" spans="1:14" x14ac:dyDescent="0.2">
      <c r="A563" s="344">
        <v>43153</v>
      </c>
      <c r="B563" s="333">
        <v>296486.64</v>
      </c>
      <c r="F563" s="320">
        <v>43497</v>
      </c>
      <c r="G563" s="125">
        <v>388590.24</v>
      </c>
      <c r="H563" s="164">
        <v>170486.28</v>
      </c>
      <c r="J563" s="320">
        <v>43586</v>
      </c>
      <c r="K563" s="164">
        <v>169831.32</v>
      </c>
      <c r="N563" s="464">
        <f t="shared" si="3"/>
        <v>182553.77669069584</v>
      </c>
    </row>
    <row r="564" spans="1:14" x14ac:dyDescent="0.2">
      <c r="A564" s="344">
        <v>43154</v>
      </c>
      <c r="B564" s="333">
        <v>296487</v>
      </c>
      <c r="F564" s="320">
        <v>43525</v>
      </c>
      <c r="G564" s="125">
        <v>244069.19</v>
      </c>
      <c r="H564" s="164">
        <v>171537.16</v>
      </c>
      <c r="J564" s="320">
        <v>43617</v>
      </c>
      <c r="K564" s="164">
        <v>175962.43</v>
      </c>
      <c r="N564" s="464">
        <f t="shared" si="3"/>
        <v>183466.54557414932</v>
      </c>
    </row>
    <row r="565" spans="1:14" x14ac:dyDescent="0.2">
      <c r="A565" s="344">
        <v>43157</v>
      </c>
      <c r="B565" s="333">
        <v>296487</v>
      </c>
      <c r="F565" s="320">
        <v>43556</v>
      </c>
      <c r="G565" s="125">
        <v>265093.77</v>
      </c>
      <c r="H565" s="164">
        <v>174601.21</v>
      </c>
      <c r="J565" s="320">
        <v>43647</v>
      </c>
      <c r="K565" s="164">
        <v>176392.07</v>
      </c>
      <c r="N565" s="464">
        <f t="shared" si="3"/>
        <v>184383.87830202008</v>
      </c>
    </row>
    <row r="566" spans="1:14" x14ac:dyDescent="0.2">
      <c r="A566" s="344">
        <v>43158</v>
      </c>
      <c r="B566" s="333">
        <v>335911.5</v>
      </c>
      <c r="F566" s="320">
        <v>43586</v>
      </c>
      <c r="G566" s="125">
        <v>218979.44</v>
      </c>
      <c r="H566" s="164">
        <v>169831.32</v>
      </c>
      <c r="J566" s="320">
        <v>43678</v>
      </c>
      <c r="K566" s="164">
        <v>174581</v>
      </c>
      <c r="N566" s="464">
        <f t="shared" si="3"/>
        <v>185305.79769353018</v>
      </c>
    </row>
    <row r="567" spans="1:14" x14ac:dyDescent="0.2">
      <c r="A567" s="344">
        <v>43159</v>
      </c>
      <c r="B567" s="333">
        <v>335912</v>
      </c>
      <c r="F567" s="320">
        <v>43617</v>
      </c>
      <c r="G567" s="125">
        <v>271553.78999999998</v>
      </c>
      <c r="H567" s="164">
        <v>175962.43</v>
      </c>
      <c r="J567" s="320">
        <v>43709</v>
      </c>
      <c r="K567" s="164">
        <v>175832.82</v>
      </c>
      <c r="N567" s="464">
        <f t="shared" si="3"/>
        <v>186232.32668199783</v>
      </c>
    </row>
    <row r="568" spans="1:14" x14ac:dyDescent="0.2">
      <c r="A568" s="344">
        <v>43160</v>
      </c>
      <c r="B568" s="333">
        <v>330042.21999999997</v>
      </c>
      <c r="F568" s="320">
        <v>43647</v>
      </c>
      <c r="G568" s="125">
        <v>272625.19</v>
      </c>
      <c r="H568" s="164">
        <v>176392.07</v>
      </c>
      <c r="J568" s="320">
        <v>43739</v>
      </c>
      <c r="K568" s="164">
        <v>176684.91</v>
      </c>
      <c r="N568" s="464">
        <f t="shared" si="3"/>
        <v>187163.48831540783</v>
      </c>
    </row>
    <row r="569" spans="1:14" x14ac:dyDescent="0.2">
      <c r="A569" s="344">
        <v>43161</v>
      </c>
      <c r="B569" s="370">
        <v>367034.5</v>
      </c>
      <c r="F569" s="320">
        <v>43678</v>
      </c>
      <c r="G569" s="125">
        <v>249105.04</v>
      </c>
      <c r="H569" s="164">
        <v>174581.16</v>
      </c>
      <c r="J569" s="320">
        <v>43770</v>
      </c>
      <c r="K569" s="164">
        <v>180686.55</v>
      </c>
      <c r="N569" s="464">
        <f t="shared" si="3"/>
        <v>188099.30575698486</v>
      </c>
    </row>
    <row r="570" spans="1:14" x14ac:dyDescent="0.2">
      <c r="A570" s="344">
        <v>43164</v>
      </c>
      <c r="B570" s="333">
        <v>330990.42</v>
      </c>
      <c r="F570" s="320">
        <v>43709</v>
      </c>
      <c r="G570" s="125">
        <v>224675.57</v>
      </c>
      <c r="H570" s="164">
        <v>175832.82</v>
      </c>
      <c r="J570" s="320">
        <v>43800</v>
      </c>
      <c r="K570" s="164">
        <v>184417.26</v>
      </c>
      <c r="N570" s="464">
        <f t="shared" si="3"/>
        <v>189039.80228576978</v>
      </c>
    </row>
    <row r="571" spans="1:14" x14ac:dyDescent="0.2">
      <c r="A571" s="344">
        <v>43165</v>
      </c>
      <c r="B571" s="333">
        <v>333065.89</v>
      </c>
      <c r="F571" s="320">
        <v>43739</v>
      </c>
      <c r="G571" s="125">
        <f>250597.51-10616</f>
        <v>239981.51</v>
      </c>
      <c r="H571" s="164">
        <v>176684.91</v>
      </c>
      <c r="J571" s="320">
        <v>43831</v>
      </c>
      <c r="K571" s="164">
        <v>186588.03</v>
      </c>
      <c r="N571" s="464">
        <f t="shared" si="3"/>
        <v>189985.00129719861</v>
      </c>
    </row>
    <row r="572" spans="1:14" x14ac:dyDescent="0.2">
      <c r="A572" s="344">
        <v>43166</v>
      </c>
      <c r="B572" s="333">
        <v>331065.89</v>
      </c>
      <c r="F572" s="320">
        <v>43770</v>
      </c>
      <c r="G572" s="125">
        <f>213081.72-10616</f>
        <v>202465.72</v>
      </c>
      <c r="H572" s="164">
        <v>180686.55</v>
      </c>
      <c r="J572" s="320">
        <v>43862</v>
      </c>
      <c r="K572" s="164">
        <v>177685.24</v>
      </c>
      <c r="N572" s="464">
        <f t="shared" si="3"/>
        <v>190934.9263036846</v>
      </c>
    </row>
    <row r="573" spans="1:14" x14ac:dyDescent="0.2">
      <c r="A573" s="344">
        <v>43167</v>
      </c>
      <c r="B573" s="333">
        <v>331092.17</v>
      </c>
      <c r="F573" s="320">
        <v>43800</v>
      </c>
      <c r="G573" s="125">
        <v>298881.24</v>
      </c>
      <c r="H573" s="164">
        <v>184417.26</v>
      </c>
      <c r="J573" s="320">
        <v>43891</v>
      </c>
      <c r="K573" s="164">
        <v>162398.81</v>
      </c>
      <c r="N573" s="464">
        <f t="shared" si="3"/>
        <v>191889.60093520302</v>
      </c>
    </row>
    <row r="574" spans="1:14" x14ac:dyDescent="0.2">
      <c r="A574" s="344">
        <v>43168</v>
      </c>
      <c r="B574" s="333">
        <v>311733.17</v>
      </c>
      <c r="F574" s="320">
        <v>43831</v>
      </c>
      <c r="G574" s="125">
        <v>326352.59000000003</v>
      </c>
      <c r="H574" s="164">
        <v>186588.03</v>
      </c>
      <c r="J574" s="320">
        <v>43922</v>
      </c>
      <c r="K574" s="164">
        <v>175055.83</v>
      </c>
      <c r="N574" s="464">
        <f t="shared" si="3"/>
        <v>192849.04893987905</v>
      </c>
    </row>
    <row r="575" spans="1:14" x14ac:dyDescent="0.2">
      <c r="A575" s="344">
        <v>43171</v>
      </c>
      <c r="B575" s="333">
        <v>317116.19</v>
      </c>
      <c r="F575" s="320">
        <v>43862</v>
      </c>
      <c r="G575" s="125">
        <v>247842.14</v>
      </c>
      <c r="H575" s="164">
        <v>177685.24</v>
      </c>
      <c r="J575" s="320">
        <v>43952</v>
      </c>
      <c r="K575" s="164">
        <v>180640.71</v>
      </c>
      <c r="N575" s="464">
        <f t="shared" si="3"/>
        <v>193813.29418457844</v>
      </c>
    </row>
    <row r="576" spans="1:14" x14ac:dyDescent="0.2">
      <c r="A576" s="344">
        <v>43172</v>
      </c>
      <c r="B576" s="333">
        <v>317116</v>
      </c>
      <c r="F576" s="320">
        <v>43891</v>
      </c>
      <c r="G576" s="125">
        <v>256001.05</v>
      </c>
      <c r="H576" s="164">
        <v>162398.81</v>
      </c>
      <c r="J576" s="320">
        <v>43983</v>
      </c>
      <c r="K576" s="164">
        <v>183627.14</v>
      </c>
      <c r="N576" s="464">
        <f t="shared" si="3"/>
        <v>194782.36065550134</v>
      </c>
    </row>
    <row r="577" spans="1:14" x14ac:dyDescent="0.2">
      <c r="A577" s="344">
        <v>43173</v>
      </c>
      <c r="B577" s="333">
        <v>317496.19</v>
      </c>
      <c r="F577" s="320">
        <v>43922</v>
      </c>
      <c r="G577" s="125">
        <v>319553.11</v>
      </c>
      <c r="H577" s="164">
        <v>175055.83</v>
      </c>
      <c r="J577" s="320">
        <v>44013</v>
      </c>
      <c r="K577" s="164">
        <v>191310.14</v>
      </c>
      <c r="L577" s="148"/>
      <c r="N577" s="464">
        <f t="shared" si="3"/>
        <v>195756.27245877884</v>
      </c>
    </row>
    <row r="578" spans="1:14" x14ac:dyDescent="0.2">
      <c r="A578" s="344">
        <v>43174</v>
      </c>
      <c r="B578" s="333">
        <v>317772.45</v>
      </c>
      <c r="F578" s="320">
        <v>43952</v>
      </c>
      <c r="G578" s="125">
        <v>373887.89</v>
      </c>
      <c r="H578" s="164">
        <v>180640.71</v>
      </c>
      <c r="J578" s="320">
        <v>44044</v>
      </c>
      <c r="K578" s="164">
        <v>196731.42</v>
      </c>
      <c r="L578" s="148"/>
      <c r="N578" s="464">
        <f t="shared" si="3"/>
        <v>196735.05382107274</v>
      </c>
    </row>
    <row r="579" spans="1:14" x14ac:dyDescent="0.2">
      <c r="A579" s="344">
        <v>43175</v>
      </c>
      <c r="B579" s="333">
        <v>317772</v>
      </c>
      <c r="C579" s="344"/>
      <c r="D579" s="333"/>
      <c r="F579" s="320">
        <v>43983</v>
      </c>
      <c r="G579" s="125">
        <v>387259.9</v>
      </c>
      <c r="H579" s="164">
        <v>183627.14</v>
      </c>
      <c r="J579" s="320">
        <v>44075</v>
      </c>
      <c r="K579" s="164">
        <v>192424.98</v>
      </c>
      <c r="L579" s="148"/>
      <c r="N579" s="464">
        <f t="shared" si="3"/>
        <v>197718.72909017809</v>
      </c>
    </row>
    <row r="580" spans="1:14" x14ac:dyDescent="0.2">
      <c r="A580" s="344">
        <v>43178</v>
      </c>
      <c r="B580" s="333">
        <v>279446.55</v>
      </c>
      <c r="C580" s="344"/>
      <c r="D580" s="333"/>
      <c r="F580" s="320">
        <v>44013</v>
      </c>
      <c r="G580" s="125">
        <v>393896.48</v>
      </c>
      <c r="H580" s="164">
        <v>191310.14</v>
      </c>
      <c r="J580" s="320">
        <v>44105</v>
      </c>
      <c r="K580" s="164">
        <v>189044.54</v>
      </c>
      <c r="L580" s="148"/>
      <c r="N580" s="464">
        <f t="shared" si="3"/>
        <v>198707.32273562899</v>
      </c>
    </row>
    <row r="581" spans="1:14" x14ac:dyDescent="0.2">
      <c r="A581" s="344">
        <v>43179</v>
      </c>
      <c r="B581" s="333">
        <v>272785.62</v>
      </c>
      <c r="C581" s="344"/>
      <c r="D581" s="333"/>
      <c r="F581" s="320">
        <v>44044</v>
      </c>
      <c r="G581" s="125">
        <v>318622.86</v>
      </c>
      <c r="H581" s="164">
        <v>196731.42</v>
      </c>
      <c r="J581" s="320">
        <v>44136</v>
      </c>
      <c r="K581" s="164">
        <v>201253.81</v>
      </c>
      <c r="L581" s="148"/>
      <c r="N581" s="464">
        <f t="shared" si="3"/>
        <v>199700.85934930714</v>
      </c>
    </row>
    <row r="582" spans="1:14" x14ac:dyDescent="0.2">
      <c r="A582" s="344">
        <v>43180</v>
      </c>
      <c r="B582" s="333">
        <v>288240.15999999997</v>
      </c>
      <c r="C582" s="344"/>
      <c r="D582" s="333"/>
      <c r="F582" s="320">
        <v>44075</v>
      </c>
      <c r="G582" s="125">
        <v>310792.11</v>
      </c>
      <c r="H582" s="164">
        <v>192424.98</v>
      </c>
      <c r="J582" s="320">
        <v>44166</v>
      </c>
      <c r="K582" s="164">
        <v>206549.06</v>
      </c>
      <c r="L582" s="148"/>
      <c r="N582" s="464">
        <f t="shared" si="3"/>
        <v>200699.36364605368</v>
      </c>
    </row>
    <row r="583" spans="1:14" x14ac:dyDescent="0.2">
      <c r="A583" s="344">
        <v>43181</v>
      </c>
      <c r="B583" s="333">
        <v>278742.74</v>
      </c>
      <c r="C583" s="344"/>
      <c r="D583" s="333"/>
      <c r="F583" s="320">
        <v>44105</v>
      </c>
      <c r="G583" s="125">
        <v>337545.3</v>
      </c>
      <c r="H583" s="164">
        <v>189044.54</v>
      </c>
      <c r="J583" s="320">
        <v>44197</v>
      </c>
      <c r="K583" s="164">
        <v>204163.62</v>
      </c>
      <c r="L583" s="148"/>
      <c r="N583" s="464">
        <f t="shared" si="3"/>
        <v>201702.86046428393</v>
      </c>
    </row>
    <row r="584" spans="1:14" x14ac:dyDescent="0.2">
      <c r="A584" s="344">
        <v>43182</v>
      </c>
      <c r="B584" s="333">
        <v>278840.24</v>
      </c>
      <c r="C584" s="344"/>
      <c r="D584" s="333"/>
      <c r="F584" s="320">
        <v>44136</v>
      </c>
      <c r="G584" s="125">
        <v>407385.79</v>
      </c>
      <c r="H584" s="164">
        <v>201253.81</v>
      </c>
      <c r="J584" s="320">
        <v>44228</v>
      </c>
      <c r="K584" s="164">
        <v>207045.8</v>
      </c>
      <c r="L584" s="148"/>
      <c r="N584" s="464">
        <f t="shared" si="3"/>
        <v>202711.37476660535</v>
      </c>
    </row>
    <row r="585" spans="1:14" x14ac:dyDescent="0.2">
      <c r="A585" s="344">
        <v>43185</v>
      </c>
      <c r="B585" s="333">
        <v>278942.24</v>
      </c>
      <c r="C585" s="344"/>
      <c r="D585" s="333"/>
      <c r="F585" s="320">
        <v>44166</v>
      </c>
      <c r="G585" s="125">
        <v>325944.61</v>
      </c>
      <c r="H585" s="164">
        <v>206549.06</v>
      </c>
      <c r="J585" s="320">
        <v>44256</v>
      </c>
      <c r="K585" s="164">
        <v>211866.05</v>
      </c>
      <c r="L585" s="148"/>
      <c r="N585" s="464">
        <f t="shared" si="3"/>
        <v>203724.93164043839</v>
      </c>
    </row>
    <row r="586" spans="1:14" x14ac:dyDescent="0.2">
      <c r="A586" s="344">
        <v>43186</v>
      </c>
      <c r="B586" s="333">
        <v>257048.49</v>
      </c>
      <c r="C586" s="344"/>
      <c r="D586" s="333"/>
      <c r="F586" s="320">
        <v>44197</v>
      </c>
      <c r="G586" s="125">
        <v>416865.56</v>
      </c>
      <c r="H586" s="164">
        <v>204163.62</v>
      </c>
      <c r="J586" s="320">
        <v>44287</v>
      </c>
      <c r="K586" s="164">
        <v>218448.38</v>
      </c>
      <c r="L586" s="148"/>
      <c r="N586" s="464">
        <f t="shared" si="3"/>
        <v>204743.55629864059</v>
      </c>
    </row>
    <row r="587" spans="1:14" x14ac:dyDescent="0.2">
      <c r="A587" s="344">
        <v>43187</v>
      </c>
      <c r="B587" s="333">
        <v>252662.47</v>
      </c>
      <c r="C587" s="344"/>
      <c r="D587" s="333"/>
      <c r="F587" s="320">
        <v>44228</v>
      </c>
      <c r="G587" s="125">
        <v>403762.36</v>
      </c>
      <c r="H587" s="164">
        <v>207045.8</v>
      </c>
      <c r="J587" s="320">
        <v>44317</v>
      </c>
      <c r="K587" s="164">
        <f>222185</f>
        <v>222185</v>
      </c>
      <c r="L587" s="148"/>
      <c r="N587" s="464">
        <f t="shared" si="3"/>
        <v>205767.27408013379</v>
      </c>
    </row>
    <row r="588" spans="1:14" x14ac:dyDescent="0.2">
      <c r="A588" s="344">
        <v>43188</v>
      </c>
      <c r="B588" s="333">
        <v>254708.73</v>
      </c>
      <c r="C588" s="344"/>
      <c r="D588" s="333"/>
      <c r="F588" s="320">
        <v>44256</v>
      </c>
      <c r="G588" s="125">
        <v>218522.99</v>
      </c>
      <c r="H588" s="164">
        <v>211866.05</v>
      </c>
      <c r="J588" s="320">
        <v>44348</v>
      </c>
      <c r="K588" s="164">
        <v>222449.07</v>
      </c>
      <c r="L588" s="148"/>
      <c r="N588" s="464">
        <f t="shared" si="3"/>
        <v>206796.11045053447</v>
      </c>
    </row>
    <row r="589" spans="1:14" x14ac:dyDescent="0.2">
      <c r="A589" s="344">
        <v>43189</v>
      </c>
      <c r="B589" s="333">
        <v>281702.86</v>
      </c>
      <c r="C589" s="344"/>
      <c r="D589" s="333"/>
      <c r="F589" s="320">
        <v>44287</v>
      </c>
      <c r="G589" s="125">
        <v>281784.46000000002</v>
      </c>
      <c r="H589" s="164">
        <v>218448.38</v>
      </c>
      <c r="J589" s="320">
        <v>44378</v>
      </c>
      <c r="K589" s="164">
        <v>325177.46999999997</v>
      </c>
      <c r="L589" s="148"/>
      <c r="N589" s="464">
        <f>N$525*N588/12 +N588+100000</f>
        <v>307830.09100278711</v>
      </c>
    </row>
    <row r="590" spans="1:14" x14ac:dyDescent="0.2">
      <c r="A590" s="344">
        <v>43192</v>
      </c>
      <c r="B590" s="333">
        <v>244220.77</v>
      </c>
      <c r="C590" s="344"/>
      <c r="D590" s="333"/>
      <c r="F590" s="320">
        <v>44317</v>
      </c>
      <c r="G590" s="125">
        <v>231705.38</v>
      </c>
      <c r="H590" s="164">
        <v>222184.92</v>
      </c>
      <c r="J590" s="320">
        <v>44409</v>
      </c>
      <c r="K590" s="164">
        <v>329419.45</v>
      </c>
      <c r="L590" s="148"/>
      <c r="N590" s="464">
        <f t="shared" si="3"/>
        <v>309369.24145780102</v>
      </c>
    </row>
    <row r="591" spans="1:14" x14ac:dyDescent="0.2">
      <c r="A591" s="344">
        <v>43193</v>
      </c>
      <c r="B591" s="333">
        <v>244221</v>
      </c>
      <c r="C591" s="344"/>
      <c r="D591" s="333"/>
      <c r="F591" s="320">
        <v>44348</v>
      </c>
      <c r="G591" s="125">
        <v>254786.13</v>
      </c>
      <c r="H591" s="164">
        <v>222449.07</v>
      </c>
      <c r="J591" s="320">
        <v>44440</v>
      </c>
      <c r="K591" s="164">
        <v>318755.06</v>
      </c>
      <c r="L591" s="148"/>
      <c r="N591" s="464">
        <f t="shared" si="3"/>
        <v>310916.08766509005</v>
      </c>
    </row>
    <row r="592" spans="1:14" x14ac:dyDescent="0.2">
      <c r="A592" s="344">
        <v>43194</v>
      </c>
      <c r="B592" s="333">
        <v>244221</v>
      </c>
      <c r="C592" s="344"/>
      <c r="D592" s="333"/>
      <c r="F592" s="320">
        <v>44378</v>
      </c>
      <c r="G592" s="125">
        <v>323671.89</v>
      </c>
      <c r="H592" s="164">
        <v>325177.46999999997</v>
      </c>
      <c r="J592" s="320">
        <v>44470</v>
      </c>
      <c r="K592" s="164">
        <v>329502.62</v>
      </c>
      <c r="L592" s="148"/>
      <c r="N592" s="464">
        <f t="shared" ref="N592:N596" si="4">N$525*N591/12 +N591</f>
        <v>312470.66810341552</v>
      </c>
    </row>
    <row r="593" spans="1:14" x14ac:dyDescent="0.2">
      <c r="A593" s="344">
        <v>43195</v>
      </c>
      <c r="B593" s="333">
        <v>225503.87</v>
      </c>
      <c r="C593" s="344"/>
      <c r="D593" s="333"/>
      <c r="F593" s="320">
        <v>44409</v>
      </c>
      <c r="G593" s="125">
        <v>334383.06</v>
      </c>
      <c r="H593" s="164">
        <v>329419.45</v>
      </c>
      <c r="J593" s="320">
        <v>44501</v>
      </c>
      <c r="K593" s="164">
        <v>323833.99</v>
      </c>
      <c r="L593" s="148"/>
      <c r="N593" s="464">
        <f t="shared" si="4"/>
        <v>314033.02144393261</v>
      </c>
    </row>
    <row r="594" spans="1:14" x14ac:dyDescent="0.2">
      <c r="A594" s="344">
        <v>43196</v>
      </c>
      <c r="B594" s="333">
        <v>225504</v>
      </c>
      <c r="C594" s="344"/>
      <c r="D594" s="333"/>
      <c r="F594" s="320">
        <v>44440</v>
      </c>
      <c r="G594" s="125">
        <v>325598.5</v>
      </c>
      <c r="H594" s="164">
        <v>318755.06</v>
      </c>
      <c r="J594" s="320">
        <v>44531</v>
      </c>
      <c r="K594" s="164">
        <v>334446.53999999998</v>
      </c>
      <c r="L594" s="148"/>
      <c r="N594" s="464">
        <f t="shared" si="4"/>
        <v>315603.18655115226</v>
      </c>
    </row>
    <row r="595" spans="1:14" x14ac:dyDescent="0.2">
      <c r="A595" s="344">
        <v>43199</v>
      </c>
      <c r="B595" s="333">
        <v>225503.8</v>
      </c>
      <c r="C595" s="344"/>
      <c r="D595" s="333"/>
      <c r="F595" s="320">
        <v>44470</v>
      </c>
      <c r="G595" s="125">
        <v>397934.47</v>
      </c>
      <c r="H595" s="164">
        <v>329502.62</v>
      </c>
      <c r="J595" s="320">
        <v>44562</v>
      </c>
      <c r="K595" s="164">
        <v>323933.77</v>
      </c>
      <c r="L595" s="148"/>
      <c r="N595" s="464">
        <f t="shared" si="4"/>
        <v>317181.20248390804</v>
      </c>
    </row>
    <row r="596" spans="1:14" x14ac:dyDescent="0.2">
      <c r="A596" s="344">
        <v>43200</v>
      </c>
      <c r="B596" s="333">
        <v>227389.96</v>
      </c>
      <c r="C596" s="344"/>
      <c r="D596" s="333"/>
      <c r="F596" s="320">
        <v>44501</v>
      </c>
      <c r="G596" s="125">
        <v>304557.78000000003</v>
      </c>
      <c r="H596" s="164">
        <v>323833.99</v>
      </c>
      <c r="J596" s="320">
        <v>44593</v>
      </c>
      <c r="K596" s="164">
        <v>319586.55</v>
      </c>
      <c r="L596" s="148"/>
      <c r="N596" s="464">
        <f t="shared" si="4"/>
        <v>318767.10849632759</v>
      </c>
    </row>
    <row r="597" spans="1:14" x14ac:dyDescent="0.2">
      <c r="A597" s="344">
        <v>43201</v>
      </c>
      <c r="B597" s="333">
        <v>235472.53</v>
      </c>
      <c r="C597" s="344"/>
      <c r="D597" s="333"/>
      <c r="F597" s="320">
        <v>44531</v>
      </c>
      <c r="G597" s="125">
        <v>339829.81</v>
      </c>
      <c r="H597" s="164">
        <v>334446.53999999998</v>
      </c>
      <c r="J597" s="320">
        <v>44621</v>
      </c>
      <c r="K597" s="164">
        <v>422621.04</v>
      </c>
      <c r="L597" s="148"/>
    </row>
    <row r="598" spans="1:14" x14ac:dyDescent="0.2">
      <c r="A598" s="344">
        <v>43202</v>
      </c>
      <c r="B598" s="333">
        <v>222207.84</v>
      </c>
      <c r="C598" s="344"/>
      <c r="D598" s="333"/>
      <c r="F598" s="320">
        <v>44562</v>
      </c>
      <c r="G598" s="125">
        <v>483670.84</v>
      </c>
      <c r="H598" s="164">
        <v>323933.77</v>
      </c>
      <c r="J598" s="320">
        <v>44652</v>
      </c>
      <c r="K598" s="164">
        <v>399826.35</v>
      </c>
      <c r="L598" s="148"/>
    </row>
    <row r="599" spans="1:14" x14ac:dyDescent="0.2">
      <c r="A599" s="344">
        <v>43203</v>
      </c>
      <c r="B599" s="333">
        <v>222287.93</v>
      </c>
      <c r="C599" s="344"/>
      <c r="D599" s="333"/>
      <c r="F599" s="320">
        <v>44593</v>
      </c>
      <c r="G599" s="125">
        <v>403181.63</v>
      </c>
      <c r="H599" s="164">
        <v>319586.55</v>
      </c>
      <c r="J599" s="320">
        <v>44682</v>
      </c>
      <c r="K599" s="164">
        <v>404182.26</v>
      </c>
      <c r="L599" s="148"/>
    </row>
    <row r="600" spans="1:14" x14ac:dyDescent="0.2">
      <c r="A600" s="344">
        <v>43206</v>
      </c>
      <c r="B600" s="333">
        <v>186664.28</v>
      </c>
      <c r="C600" s="344"/>
      <c r="D600" s="333"/>
      <c r="F600" s="320">
        <v>44621</v>
      </c>
      <c r="G600" s="125">
        <v>315833.28999999998</v>
      </c>
      <c r="H600" s="164">
        <v>422621.04</v>
      </c>
      <c r="J600" s="320">
        <v>44713</v>
      </c>
      <c r="K600" s="164">
        <v>378955.05</v>
      </c>
      <c r="L600" s="148"/>
    </row>
    <row r="601" spans="1:14" x14ac:dyDescent="0.2">
      <c r="A601" s="344">
        <v>43207</v>
      </c>
      <c r="B601" s="333">
        <v>188484.95</v>
      </c>
      <c r="C601" s="344"/>
      <c r="D601" s="333"/>
      <c r="F601" s="320">
        <v>44652</v>
      </c>
      <c r="G601" s="125">
        <v>327170</v>
      </c>
      <c r="H601" s="164">
        <v>399826.35</v>
      </c>
      <c r="J601" s="320">
        <v>44743</v>
      </c>
      <c r="K601" s="164">
        <v>395341.91</v>
      </c>
      <c r="L601" s="148"/>
    </row>
    <row r="602" spans="1:14" x14ac:dyDescent="0.2">
      <c r="A602" s="344">
        <v>43208</v>
      </c>
      <c r="B602" s="333">
        <v>188485</v>
      </c>
      <c r="C602" s="344"/>
      <c r="D602" s="333"/>
      <c r="F602" s="320">
        <v>44682</v>
      </c>
      <c r="G602" s="125">
        <v>246847.16</v>
      </c>
      <c r="H602" s="164">
        <v>404182.26</v>
      </c>
      <c r="J602" s="320">
        <v>44774</v>
      </c>
      <c r="K602" s="164">
        <v>382796.02</v>
      </c>
      <c r="L602" s="148"/>
    </row>
    <row r="603" spans="1:14" x14ac:dyDescent="0.2">
      <c r="A603" s="344">
        <v>43209</v>
      </c>
      <c r="B603" s="333">
        <v>180474.73</v>
      </c>
      <c r="C603" s="344"/>
      <c r="D603" s="333"/>
      <c r="F603" s="320">
        <v>44713</v>
      </c>
      <c r="G603" s="125">
        <v>274391.32</v>
      </c>
      <c r="H603" s="164">
        <v>378955.05</v>
      </c>
      <c r="J603" s="320">
        <v>44805</v>
      </c>
      <c r="K603" s="164">
        <v>357259.36</v>
      </c>
      <c r="L603" s="148"/>
    </row>
    <row r="604" spans="1:14" x14ac:dyDescent="0.2">
      <c r="A604" s="344">
        <v>43210</v>
      </c>
      <c r="B604" s="333">
        <v>188207.38</v>
      </c>
      <c r="C604" s="344"/>
      <c r="D604" s="333"/>
      <c r="F604" s="320">
        <v>44743</v>
      </c>
      <c r="G604" s="125">
        <v>311473.07</v>
      </c>
      <c r="H604" s="164">
        <v>395341.91</v>
      </c>
      <c r="J604" s="320">
        <v>44835</v>
      </c>
      <c r="K604" s="164">
        <v>374993.63</v>
      </c>
      <c r="L604" s="148"/>
    </row>
    <row r="605" spans="1:14" x14ac:dyDescent="0.2">
      <c r="A605" s="344">
        <v>43213</v>
      </c>
      <c r="B605" s="333">
        <v>198618.83</v>
      </c>
      <c r="C605" s="344"/>
      <c r="D605" s="333"/>
      <c r="F605" s="320">
        <v>44774</v>
      </c>
      <c r="G605" s="125">
        <v>246923.1</v>
      </c>
      <c r="H605" s="164">
        <v>382796.02</v>
      </c>
      <c r="J605" s="320">
        <v>44866</v>
      </c>
      <c r="K605" s="164">
        <v>396685.21</v>
      </c>
      <c r="L605" s="148"/>
    </row>
    <row r="606" spans="1:14" x14ac:dyDescent="0.2">
      <c r="A606" s="344">
        <v>43214</v>
      </c>
      <c r="B606" s="333">
        <v>198619</v>
      </c>
      <c r="C606" s="344"/>
      <c r="D606" s="333"/>
      <c r="F606" s="320">
        <v>44805</v>
      </c>
      <c r="G606" s="125">
        <v>214783.77</v>
      </c>
      <c r="H606" s="164">
        <v>357259.36</v>
      </c>
      <c r="J606" s="320">
        <v>44896</v>
      </c>
      <c r="K606" s="164">
        <v>385734.14</v>
      </c>
      <c r="L606" s="148"/>
    </row>
    <row r="607" spans="1:14" x14ac:dyDescent="0.2">
      <c r="A607" s="344">
        <v>43215</v>
      </c>
      <c r="B607" s="333">
        <v>198619</v>
      </c>
      <c r="C607" s="344"/>
      <c r="D607" s="333"/>
      <c r="F607" s="320">
        <v>44835</v>
      </c>
      <c r="G607" s="125">
        <v>264786.40999999997</v>
      </c>
      <c r="H607" s="164">
        <v>374993.63</v>
      </c>
      <c r="J607" s="320">
        <v>44927</v>
      </c>
      <c r="K607" s="164">
        <v>402326.67</v>
      </c>
      <c r="L607" s="148"/>
    </row>
    <row r="608" spans="1:14" x14ac:dyDescent="0.2">
      <c r="A608" s="344">
        <v>43216</v>
      </c>
      <c r="B608" s="333">
        <v>189089.55</v>
      </c>
      <c r="C608" s="344"/>
      <c r="D608" s="333"/>
      <c r="F608" s="320">
        <v>44866</v>
      </c>
      <c r="G608" s="125">
        <v>290727.87</v>
      </c>
      <c r="H608" s="164">
        <v>396685.21</v>
      </c>
      <c r="J608" s="320">
        <v>44958</v>
      </c>
      <c r="K608" s="164">
        <v>390206.58</v>
      </c>
      <c r="L608" s="148"/>
    </row>
    <row r="609" spans="1:12" x14ac:dyDescent="0.2">
      <c r="A609" s="344">
        <v>43217</v>
      </c>
      <c r="B609" s="333">
        <v>216053.77</v>
      </c>
      <c r="C609" s="344"/>
      <c r="D609" s="333"/>
      <c r="F609" s="320">
        <v>44896</v>
      </c>
      <c r="G609" s="125">
        <v>362006.45</v>
      </c>
      <c r="H609" s="164">
        <v>385734.14</v>
      </c>
      <c r="J609" s="320">
        <v>44986</v>
      </c>
      <c r="K609" s="164">
        <v>396440.66</v>
      </c>
      <c r="L609" s="148"/>
    </row>
    <row r="610" spans="1:12" x14ac:dyDescent="0.2">
      <c r="A610" s="344">
        <v>43220</v>
      </c>
      <c r="B610" s="333">
        <v>179849.52</v>
      </c>
      <c r="C610" s="344"/>
      <c r="F610" s="320">
        <v>44927</v>
      </c>
      <c r="G610" s="125">
        <v>494072.83</v>
      </c>
      <c r="H610" s="164">
        <v>402326.67</v>
      </c>
      <c r="J610" s="320">
        <v>45017</v>
      </c>
      <c r="K610" s="164">
        <v>401182.89</v>
      </c>
      <c r="L610" s="148"/>
    </row>
    <row r="611" spans="1:12" x14ac:dyDescent="0.2">
      <c r="A611" s="344">
        <v>43221</v>
      </c>
      <c r="B611" s="333">
        <v>179850</v>
      </c>
      <c r="C611" s="344"/>
      <c r="F611" s="320">
        <v>44958</v>
      </c>
      <c r="G611" s="125">
        <v>399857.44</v>
      </c>
      <c r="H611" s="164">
        <v>390206.58</v>
      </c>
      <c r="J611" s="320">
        <v>45047</v>
      </c>
      <c r="K611" s="164">
        <v>393246.23</v>
      </c>
      <c r="L611" s="148"/>
    </row>
    <row r="612" spans="1:12" x14ac:dyDescent="0.2">
      <c r="A612" s="344">
        <v>43222</v>
      </c>
      <c r="B612" s="333">
        <v>173749.01</v>
      </c>
      <c r="C612" s="344"/>
      <c r="F612" s="320">
        <v>44986</v>
      </c>
      <c r="G612" s="125">
        <v>279188.34999999998</v>
      </c>
      <c r="H612" s="164">
        <v>396440.66</v>
      </c>
      <c r="J612" s="320">
        <v>45078</v>
      </c>
      <c r="K612" s="164">
        <v>408061</v>
      </c>
      <c r="L612" s="148"/>
    </row>
    <row r="613" spans="1:12" x14ac:dyDescent="0.2">
      <c r="A613" s="344">
        <v>43223</v>
      </c>
      <c r="B613" s="333">
        <v>200792.85</v>
      </c>
      <c r="C613" s="344"/>
      <c r="F613" s="320">
        <v>45017</v>
      </c>
      <c r="G613" s="125">
        <v>302008.53000000003</v>
      </c>
      <c r="H613" s="164">
        <v>401182.89</v>
      </c>
      <c r="J613" s="320">
        <v>45108</v>
      </c>
      <c r="K613" s="164">
        <v>417521.72</v>
      </c>
    </row>
    <row r="614" spans="1:12" x14ac:dyDescent="0.2">
      <c r="A614" s="344">
        <v>43224</v>
      </c>
      <c r="B614" s="333">
        <v>202331.91</v>
      </c>
      <c r="C614" s="344"/>
      <c r="F614" s="320">
        <v>45047</v>
      </c>
      <c r="G614" s="125">
        <v>222544.3</v>
      </c>
      <c r="H614" s="164">
        <v>393246.23</v>
      </c>
      <c r="J614" s="320">
        <v>45139</v>
      </c>
      <c r="K614" s="164">
        <v>410999.58</v>
      </c>
    </row>
    <row r="615" spans="1:12" x14ac:dyDescent="0.2">
      <c r="A615" s="344">
        <v>43227</v>
      </c>
      <c r="B615" s="333">
        <v>203517.87</v>
      </c>
      <c r="C615" s="344"/>
      <c r="F615" s="320">
        <v>45078</v>
      </c>
      <c r="G615" s="125">
        <v>303528.63</v>
      </c>
      <c r="H615" s="164">
        <v>408061</v>
      </c>
      <c r="J615" s="320">
        <v>45170</v>
      </c>
      <c r="K615" s="164">
        <v>396973.48</v>
      </c>
      <c r="L615" s="148"/>
    </row>
    <row r="616" spans="1:12" x14ac:dyDescent="0.2">
      <c r="A616" s="344">
        <v>43228</v>
      </c>
      <c r="B616" s="333">
        <v>203518</v>
      </c>
      <c r="C616" s="344"/>
      <c r="F616" s="320">
        <v>45108</v>
      </c>
      <c r="G616" s="125">
        <v>279453.21999999997</v>
      </c>
      <c r="H616" s="164">
        <v>417521.72</v>
      </c>
      <c r="J616" s="320">
        <v>45200</v>
      </c>
      <c r="K616" s="164">
        <v>389315.86</v>
      </c>
      <c r="L616" s="148"/>
    </row>
    <row r="617" spans="1:12" x14ac:dyDescent="0.2">
      <c r="A617" s="344">
        <v>43229</v>
      </c>
      <c r="B617" s="333">
        <v>203518</v>
      </c>
      <c r="C617" s="344"/>
      <c r="F617" s="320">
        <v>45139</v>
      </c>
      <c r="G617" s="125">
        <v>235427.62</v>
      </c>
      <c r="H617" s="164">
        <v>410999.58</v>
      </c>
      <c r="J617" s="320">
        <v>45231</v>
      </c>
      <c r="K617" s="164">
        <v>415432.2</v>
      </c>
      <c r="L617" s="148"/>
    </row>
    <row r="618" spans="1:12" x14ac:dyDescent="0.2">
      <c r="A618" s="344">
        <v>43230</v>
      </c>
      <c r="B618" s="333">
        <v>191114.58</v>
      </c>
      <c r="C618" s="344"/>
      <c r="F618" s="320">
        <v>45170</v>
      </c>
      <c r="G618" s="125">
        <v>301323.59999999998</v>
      </c>
      <c r="H618" s="164">
        <v>396973.48</v>
      </c>
      <c r="J618" s="320">
        <v>45261</v>
      </c>
      <c r="K618" s="164">
        <v>434275.6</v>
      </c>
      <c r="L618" s="148"/>
    </row>
    <row r="619" spans="1:12" x14ac:dyDescent="0.2">
      <c r="A619" s="344">
        <v>43231</v>
      </c>
      <c r="B619" s="370">
        <v>153114.57999999999</v>
      </c>
      <c r="C619" s="344"/>
      <c r="D619" s="333"/>
      <c r="F619" s="320">
        <v>45200</v>
      </c>
      <c r="G619" s="125">
        <v>355947.69</v>
      </c>
      <c r="H619" s="164">
        <v>389315.86</v>
      </c>
      <c r="J619" s="320">
        <v>45292</v>
      </c>
      <c r="K619" s="164">
        <v>437155.38</v>
      </c>
      <c r="L619" s="148"/>
    </row>
    <row r="620" spans="1:12" x14ac:dyDescent="0.2">
      <c r="A620" s="344">
        <v>43234</v>
      </c>
      <c r="B620" s="370">
        <v>153115</v>
      </c>
      <c r="C620" s="344"/>
      <c r="D620" s="333"/>
      <c r="F620" s="320">
        <v>45231</v>
      </c>
      <c r="G620" s="125">
        <v>269865.12</v>
      </c>
      <c r="H620" s="164">
        <v>415432.2</v>
      </c>
      <c r="J620" s="320">
        <v>45323</v>
      </c>
      <c r="K620" s="164">
        <v>449092.16</v>
      </c>
      <c r="L620" s="148"/>
    </row>
    <row r="621" spans="1:12" x14ac:dyDescent="0.2">
      <c r="A621" s="344">
        <v>43235</v>
      </c>
      <c r="B621" s="333">
        <v>182792.08</v>
      </c>
      <c r="C621" s="344"/>
      <c r="D621" s="333"/>
      <c r="F621" s="320">
        <v>45261</v>
      </c>
      <c r="G621" s="125">
        <v>266721.90000000002</v>
      </c>
      <c r="H621" s="164">
        <v>434275.6</v>
      </c>
      <c r="J621" s="320">
        <v>45352</v>
      </c>
      <c r="K621" s="164">
        <v>465124.12</v>
      </c>
      <c r="L621" s="148"/>
    </row>
    <row r="622" spans="1:12" x14ac:dyDescent="0.2">
      <c r="A622" s="344">
        <v>43236</v>
      </c>
      <c r="B622" s="333">
        <v>182792</v>
      </c>
      <c r="C622" s="344"/>
      <c r="D622" s="333"/>
      <c r="F622" s="320">
        <v>45292</v>
      </c>
      <c r="G622" s="125">
        <v>413322.14</v>
      </c>
      <c r="H622" s="164">
        <v>437155.38</v>
      </c>
      <c r="J622" s="320">
        <v>45383</v>
      </c>
      <c r="K622" s="164">
        <v>451645.99</v>
      </c>
      <c r="L622" s="148"/>
    </row>
    <row r="623" spans="1:12" x14ac:dyDescent="0.2">
      <c r="A623" s="344">
        <v>43237</v>
      </c>
      <c r="B623" s="333">
        <v>222152.66</v>
      </c>
      <c r="C623" s="344"/>
      <c r="D623" s="333"/>
      <c r="F623" s="320">
        <v>45323</v>
      </c>
      <c r="G623" s="125">
        <v>390662.21</v>
      </c>
      <c r="H623" s="164">
        <v>449092.16</v>
      </c>
      <c r="J623" s="320">
        <v>45413</v>
      </c>
      <c r="K623" s="164">
        <v>467250.63</v>
      </c>
      <c r="L623" s="148"/>
    </row>
    <row r="624" spans="1:12" x14ac:dyDescent="0.2">
      <c r="A624" s="344">
        <v>43238</v>
      </c>
      <c r="B624" s="333">
        <v>222153</v>
      </c>
      <c r="C624" s="344"/>
      <c r="D624" s="333"/>
      <c r="F624" s="320">
        <v>45352</v>
      </c>
      <c r="G624" s="125">
        <v>280467.3</v>
      </c>
      <c r="H624" s="164">
        <v>465124.12</v>
      </c>
      <c r="J624" s="320">
        <v>45444</v>
      </c>
      <c r="K624" s="164">
        <v>470492.77</v>
      </c>
      <c r="L624" s="148"/>
    </row>
    <row r="625" spans="1:21" x14ac:dyDescent="0.2">
      <c r="A625" s="344">
        <v>43241</v>
      </c>
      <c r="B625" s="333">
        <v>222153</v>
      </c>
      <c r="C625" s="344"/>
      <c r="D625" s="333"/>
      <c r="F625" s="320">
        <v>45383</v>
      </c>
      <c r="G625" s="125">
        <v>323205.53000000003</v>
      </c>
      <c r="H625" s="164">
        <v>451645.99</v>
      </c>
      <c r="J625" s="320">
        <v>45474</v>
      </c>
      <c r="K625" s="164">
        <v>484002.05</v>
      </c>
      <c r="L625" s="148"/>
    </row>
    <row r="626" spans="1:21" x14ac:dyDescent="0.2">
      <c r="A626" s="344">
        <v>43242</v>
      </c>
      <c r="B626" s="333">
        <v>222153</v>
      </c>
      <c r="C626" s="344"/>
      <c r="D626" s="333"/>
      <c r="F626" s="320">
        <v>45413</v>
      </c>
      <c r="G626" s="125">
        <v>275004.96000000002</v>
      </c>
      <c r="H626" s="164">
        <v>467250.63</v>
      </c>
      <c r="J626" s="320">
        <v>45505</v>
      </c>
      <c r="K626" s="164">
        <v>493219.34</v>
      </c>
      <c r="L626" s="148"/>
    </row>
    <row r="627" spans="1:21" x14ac:dyDescent="0.2">
      <c r="A627" s="344">
        <v>43243</v>
      </c>
      <c r="B627" s="333">
        <v>222152</v>
      </c>
      <c r="C627" s="344"/>
      <c r="D627" s="333"/>
      <c r="F627" s="320">
        <v>45444</v>
      </c>
      <c r="G627" s="125">
        <v>296378.64</v>
      </c>
      <c r="H627" s="164">
        <v>470492.77</v>
      </c>
      <c r="J627" s="320">
        <v>45536</v>
      </c>
      <c r="K627" s="164">
        <f>H630</f>
        <v>497198.08000000002</v>
      </c>
      <c r="L627" s="148"/>
    </row>
    <row r="628" spans="1:21" x14ac:dyDescent="0.2">
      <c r="A628" s="344">
        <v>43244</v>
      </c>
      <c r="B628" s="333">
        <v>211720.43</v>
      </c>
      <c r="C628" s="344"/>
      <c r="D628" s="333"/>
      <c r="F628" s="320">
        <v>45474</v>
      </c>
      <c r="G628" s="125">
        <v>336121.66</v>
      </c>
      <c r="H628" s="164">
        <v>484002.05</v>
      </c>
      <c r="J628" s="320">
        <v>45566</v>
      </c>
      <c r="K628" s="164">
        <f>H631</f>
        <v>490263.8</v>
      </c>
      <c r="P628" s="344"/>
      <c r="Q628" s="333"/>
      <c r="S628" t="s">
        <v>375</v>
      </c>
    </row>
    <row r="629" spans="1:21" x14ac:dyDescent="0.2">
      <c r="A629" s="344">
        <v>43245</v>
      </c>
      <c r="B629" s="333">
        <v>211720</v>
      </c>
      <c r="C629" s="344"/>
      <c r="D629" s="333"/>
      <c r="F629" s="320">
        <v>45505</v>
      </c>
      <c r="G629" s="125">
        <v>323670.74</v>
      </c>
      <c r="H629" s="164">
        <v>493219.34</v>
      </c>
      <c r="J629" s="320">
        <v>45626</v>
      </c>
      <c r="K629" s="164">
        <f>H632</f>
        <v>505649.74</v>
      </c>
      <c r="P629" s="344"/>
      <c r="Q629" s="333"/>
      <c r="S629" t="s">
        <v>342</v>
      </c>
      <c r="T629">
        <v>50000</v>
      </c>
    </row>
    <row r="630" spans="1:21" x14ac:dyDescent="0.2">
      <c r="A630" s="344">
        <v>43248</v>
      </c>
      <c r="B630" s="333">
        <v>211720</v>
      </c>
      <c r="C630" s="344"/>
      <c r="D630" s="333"/>
      <c r="F630" s="320">
        <v>45536</v>
      </c>
      <c r="G630" s="125">
        <v>343331.81</v>
      </c>
      <c r="H630" s="164">
        <v>497198.08000000002</v>
      </c>
      <c r="J630" s="320">
        <v>45657</v>
      </c>
      <c r="K630" s="164">
        <f>H633</f>
        <v>485756.8</v>
      </c>
      <c r="P630" s="344"/>
      <c r="Q630" s="333"/>
      <c r="S630" t="s">
        <v>67</v>
      </c>
      <c r="T630" s="213">
        <v>158720.91</v>
      </c>
      <c r="U630" t="s">
        <v>335</v>
      </c>
    </row>
    <row r="631" spans="1:21" x14ac:dyDescent="0.2">
      <c r="A631" s="344">
        <v>43249</v>
      </c>
      <c r="B631" s="333">
        <v>176327.95</v>
      </c>
      <c r="C631" s="344"/>
      <c r="D631" s="333"/>
      <c r="F631" s="320">
        <v>45566</v>
      </c>
      <c r="G631" s="125">
        <v>340527.2</v>
      </c>
      <c r="H631" s="164">
        <v>490263.8</v>
      </c>
      <c r="J631" s="320">
        <f>J630+31</f>
        <v>45688</v>
      </c>
      <c r="K631" s="164">
        <v>500919</v>
      </c>
      <c r="P631" s="344"/>
      <c r="Q631" s="333"/>
      <c r="S631" t="s">
        <v>332</v>
      </c>
      <c r="T631" s="213">
        <v>820788.58</v>
      </c>
    </row>
    <row r="632" spans="1:21" x14ac:dyDescent="0.2">
      <c r="A632" s="344">
        <v>43250</v>
      </c>
      <c r="B632" s="333">
        <v>176328</v>
      </c>
      <c r="E632" s="320"/>
      <c r="F632" s="320">
        <v>45626</v>
      </c>
      <c r="G632" s="125">
        <v>365969</v>
      </c>
      <c r="H632" s="164">
        <v>505649.74</v>
      </c>
      <c r="J632" s="320">
        <f>J631+28</f>
        <v>45716</v>
      </c>
      <c r="K632" s="164">
        <v>501419.62</v>
      </c>
      <c r="P632" s="344"/>
      <c r="Q632" s="333"/>
      <c r="S632" t="s">
        <v>312</v>
      </c>
      <c r="T632" s="213"/>
    </row>
    <row r="633" spans="1:21" x14ac:dyDescent="0.2">
      <c r="A633" s="344">
        <v>43251</v>
      </c>
      <c r="B633" s="333">
        <v>169004.5</v>
      </c>
      <c r="F633" s="320">
        <v>45657</v>
      </c>
      <c r="G633" s="125">
        <v>282364</v>
      </c>
      <c r="H633" s="164">
        <v>485756.8</v>
      </c>
      <c r="L633" t="s">
        <v>603</v>
      </c>
      <c r="P633" s="344"/>
      <c r="Q633" s="333"/>
      <c r="S633" t="s">
        <v>333</v>
      </c>
      <c r="T633" s="213">
        <v>248821.26</v>
      </c>
    </row>
    <row r="634" spans="1:21" x14ac:dyDescent="0.2">
      <c r="A634" s="344">
        <v>43252</v>
      </c>
      <c r="B634" s="333">
        <v>261992.26</v>
      </c>
      <c r="F634" s="320">
        <f>F633+31</f>
        <v>45688</v>
      </c>
      <c r="G634" s="125">
        <v>399502</v>
      </c>
      <c r="H634" s="164">
        <v>500919</v>
      </c>
      <c r="L634" t="s">
        <v>604</v>
      </c>
      <c r="N634">
        <v>390749.38</v>
      </c>
      <c r="P634" s="344"/>
      <c r="Q634" s="333"/>
      <c r="S634" t="s">
        <v>334</v>
      </c>
      <c r="T634" s="213">
        <v>2000</v>
      </c>
    </row>
    <row r="635" spans="1:21" x14ac:dyDescent="0.2">
      <c r="A635" s="344">
        <v>43255</v>
      </c>
      <c r="B635" s="333">
        <v>270521.09000000003</v>
      </c>
      <c r="F635" s="320">
        <f>F634+28</f>
        <v>45716</v>
      </c>
      <c r="G635" s="125">
        <v>339403</v>
      </c>
      <c r="H635" s="164">
        <v>501419.62</v>
      </c>
      <c r="L635" t="s">
        <v>605</v>
      </c>
      <c r="M635" s="320">
        <f>F631</f>
        <v>45566</v>
      </c>
      <c r="N635">
        <v>434275.6</v>
      </c>
      <c r="P635" s="344"/>
      <c r="Q635" s="333"/>
      <c r="S635" t="s">
        <v>340</v>
      </c>
      <c r="T635" s="213">
        <f>51000+19000</f>
        <v>70000</v>
      </c>
    </row>
    <row r="636" spans="1:21" x14ac:dyDescent="0.2">
      <c r="A636" s="344">
        <v>43256</v>
      </c>
      <c r="B636" s="333">
        <v>285365.09000000003</v>
      </c>
      <c r="N636">
        <f>N635-N634</f>
        <v>43526.219999999972</v>
      </c>
      <c r="P636" s="344"/>
      <c r="Q636" s="333"/>
      <c r="R636" t="s">
        <v>336</v>
      </c>
      <c r="T636" s="213">
        <f>SUM(T629:T635)</f>
        <v>1350330.75</v>
      </c>
    </row>
    <row r="637" spans="1:21" x14ac:dyDescent="0.2">
      <c r="A637" s="344">
        <v>43257</v>
      </c>
      <c r="B637" s="333">
        <v>285365</v>
      </c>
      <c r="P637" s="344"/>
      <c r="Q637" s="333"/>
      <c r="T637" s="213"/>
    </row>
    <row r="638" spans="1:21" x14ac:dyDescent="0.2">
      <c r="A638" s="344">
        <v>43258</v>
      </c>
      <c r="B638" s="333">
        <v>287246.65999999997</v>
      </c>
      <c r="P638" s="344"/>
      <c r="Q638" s="333"/>
      <c r="R638" t="s">
        <v>337</v>
      </c>
      <c r="T638" s="213">
        <f>AVERAGE(G561:G573)</f>
        <v>264939.10923076922</v>
      </c>
    </row>
    <row r="639" spans="1:21" x14ac:dyDescent="0.2">
      <c r="A639" s="344">
        <v>43259</v>
      </c>
      <c r="B639" s="333">
        <v>287247</v>
      </c>
      <c r="P639" s="344"/>
      <c r="Q639" s="333"/>
      <c r="T639" s="213"/>
    </row>
    <row r="640" spans="1:21" x14ac:dyDescent="0.2">
      <c r="A640" s="344">
        <v>43262</v>
      </c>
      <c r="B640" s="333">
        <v>287247</v>
      </c>
      <c r="P640" s="344"/>
      <c r="Q640" s="333"/>
      <c r="R640" t="s">
        <v>338</v>
      </c>
      <c r="T640" s="19">
        <f>T636/T638</f>
        <v>5.0967588511963511</v>
      </c>
    </row>
    <row r="641" spans="1:20" x14ac:dyDescent="0.2">
      <c r="A641" s="344">
        <v>43263</v>
      </c>
      <c r="B641" s="333">
        <v>253042.79</v>
      </c>
      <c r="P641" s="344"/>
      <c r="Q641" s="333"/>
      <c r="T641" s="213"/>
    </row>
    <row r="642" spans="1:20" x14ac:dyDescent="0.2">
      <c r="A642" s="344">
        <v>43264</v>
      </c>
      <c r="B642" s="333">
        <v>253043</v>
      </c>
      <c r="P642" s="344"/>
      <c r="Q642" s="333"/>
      <c r="R642" t="s">
        <v>339</v>
      </c>
      <c r="T642" s="213">
        <v>365</v>
      </c>
    </row>
    <row r="643" spans="1:20" x14ac:dyDescent="0.2">
      <c r="A643" s="344">
        <v>43265</v>
      </c>
      <c r="B643" s="333">
        <v>246521.36</v>
      </c>
      <c r="P643" s="344"/>
      <c r="Q643" s="333"/>
      <c r="T643" s="213">
        <f>T642/T640</f>
        <v>71.614139624111189</v>
      </c>
    </row>
    <row r="644" spans="1:20" x14ac:dyDescent="0.2">
      <c r="A644" s="344">
        <v>43266</v>
      </c>
      <c r="B644" s="333">
        <v>246593.56</v>
      </c>
      <c r="P644" s="344"/>
      <c r="Q644" s="333"/>
    </row>
    <row r="645" spans="1:20" x14ac:dyDescent="0.2">
      <c r="A645" s="344">
        <v>43269</v>
      </c>
      <c r="B645" s="333">
        <v>246594</v>
      </c>
      <c r="P645" s="344"/>
      <c r="Q645" s="333"/>
    </row>
    <row r="646" spans="1:20" x14ac:dyDescent="0.2">
      <c r="A646" s="344">
        <v>43270</v>
      </c>
      <c r="B646" s="333">
        <v>246594</v>
      </c>
      <c r="P646" s="344"/>
      <c r="Q646" s="333"/>
    </row>
    <row r="647" spans="1:20" x14ac:dyDescent="0.2">
      <c r="A647" s="344">
        <v>43271</v>
      </c>
      <c r="B647" s="333">
        <v>246594</v>
      </c>
    </row>
    <row r="648" spans="1:20" x14ac:dyDescent="0.2">
      <c r="A648" s="344">
        <v>43272</v>
      </c>
      <c r="B648" s="333">
        <v>228395.48</v>
      </c>
    </row>
    <row r="649" spans="1:20" x14ac:dyDescent="0.2">
      <c r="A649" s="344">
        <v>43273</v>
      </c>
      <c r="B649" s="333">
        <v>228395</v>
      </c>
    </row>
    <row r="650" spans="1:20" x14ac:dyDescent="0.2">
      <c r="A650" s="344">
        <v>43276</v>
      </c>
      <c r="B650" s="333">
        <v>192627.9</v>
      </c>
    </row>
    <row r="651" spans="1:20" x14ac:dyDescent="0.2">
      <c r="A651" s="344">
        <v>43277</v>
      </c>
      <c r="B651" s="333">
        <v>192628</v>
      </c>
      <c r="C651" s="344"/>
      <c r="D651" s="333"/>
    </row>
    <row r="652" spans="1:20" x14ac:dyDescent="0.2">
      <c r="A652" s="344">
        <v>43278</v>
      </c>
      <c r="B652" s="333">
        <v>192628</v>
      </c>
      <c r="C652" s="344"/>
      <c r="D652" s="333"/>
    </row>
    <row r="653" spans="1:20" x14ac:dyDescent="0.2">
      <c r="A653" s="344">
        <v>43279</v>
      </c>
      <c r="B653" s="333">
        <v>193904.61</v>
      </c>
      <c r="C653" s="344"/>
      <c r="D653" s="333"/>
    </row>
    <row r="654" spans="1:20" x14ac:dyDescent="0.2">
      <c r="A654" s="344">
        <v>43280</v>
      </c>
      <c r="B654" s="333">
        <v>195328.48</v>
      </c>
      <c r="C654" s="344"/>
      <c r="D654" s="333"/>
    </row>
    <row r="655" spans="1:20" x14ac:dyDescent="0.2">
      <c r="A655" s="344">
        <v>43283</v>
      </c>
      <c r="B655" s="333">
        <v>199304.09</v>
      </c>
      <c r="C655" s="344"/>
      <c r="D655" s="333"/>
    </row>
    <row r="656" spans="1:20" x14ac:dyDescent="0.2">
      <c r="A656" s="344">
        <v>43284</v>
      </c>
      <c r="B656" s="333">
        <v>201071.11</v>
      </c>
      <c r="C656" s="344"/>
      <c r="D656" s="333"/>
    </row>
    <row r="657" spans="1:4" x14ac:dyDescent="0.2">
      <c r="A657" s="344">
        <v>43285</v>
      </c>
      <c r="B657" s="333">
        <v>201071</v>
      </c>
      <c r="C657" s="344"/>
      <c r="D657" s="333"/>
    </row>
    <row r="658" spans="1:4" x14ac:dyDescent="0.2">
      <c r="A658" s="344">
        <v>43286</v>
      </c>
      <c r="B658" s="333">
        <v>223298.16</v>
      </c>
      <c r="C658" s="344"/>
      <c r="D658" s="333"/>
    </row>
    <row r="659" spans="1:4" x14ac:dyDescent="0.2">
      <c r="A659" s="344">
        <v>43287</v>
      </c>
      <c r="B659" s="333">
        <v>238962.66</v>
      </c>
      <c r="C659" s="344"/>
      <c r="D659" s="333"/>
    </row>
    <row r="660" spans="1:4" x14ac:dyDescent="0.2">
      <c r="A660" s="344">
        <v>43290</v>
      </c>
      <c r="B660" s="333">
        <v>203086.22</v>
      </c>
      <c r="C660" s="344"/>
      <c r="D660" s="333"/>
    </row>
    <row r="661" spans="1:4" x14ac:dyDescent="0.2">
      <c r="A661" s="344">
        <v>43291</v>
      </c>
      <c r="B661" s="333">
        <v>226930.31</v>
      </c>
      <c r="C661" s="344"/>
      <c r="D661" s="333"/>
    </row>
    <row r="662" spans="1:4" x14ac:dyDescent="0.2">
      <c r="A662" s="344">
        <v>43292</v>
      </c>
      <c r="B662" s="333">
        <v>226930</v>
      </c>
      <c r="C662" s="344"/>
      <c r="D662" s="333"/>
    </row>
    <row r="663" spans="1:4" x14ac:dyDescent="0.2">
      <c r="A663" s="344">
        <v>43293</v>
      </c>
      <c r="B663" s="333">
        <v>220822.05</v>
      </c>
      <c r="C663" s="344"/>
      <c r="D663" s="333"/>
    </row>
    <row r="664" spans="1:4" x14ac:dyDescent="0.2">
      <c r="A664" s="344">
        <v>43294</v>
      </c>
      <c r="B664" s="333">
        <v>220986.35</v>
      </c>
      <c r="C664" s="344"/>
      <c r="D664" s="333"/>
    </row>
    <row r="665" spans="1:4" x14ac:dyDescent="0.2">
      <c r="A665" s="344">
        <v>43297</v>
      </c>
      <c r="B665" s="333">
        <v>220986</v>
      </c>
      <c r="C665" s="344"/>
      <c r="D665" s="333"/>
    </row>
    <row r="666" spans="1:4" x14ac:dyDescent="0.2">
      <c r="A666" s="344">
        <v>43298</v>
      </c>
      <c r="B666" s="333">
        <v>220986</v>
      </c>
      <c r="C666" s="344"/>
      <c r="D666" s="333"/>
    </row>
    <row r="667" spans="1:4" x14ac:dyDescent="0.2">
      <c r="A667" s="344">
        <v>43299</v>
      </c>
      <c r="B667" s="333">
        <v>197995.27</v>
      </c>
      <c r="C667" s="344"/>
      <c r="D667" s="333"/>
    </row>
    <row r="668" spans="1:4" x14ac:dyDescent="0.2">
      <c r="A668" s="344">
        <v>43300</v>
      </c>
      <c r="B668" s="333">
        <v>202931.61</v>
      </c>
      <c r="C668" s="344"/>
      <c r="D668" s="333"/>
    </row>
    <row r="669" spans="1:4" x14ac:dyDescent="0.2">
      <c r="A669" s="344">
        <v>43301</v>
      </c>
      <c r="B669" s="333">
        <v>202932</v>
      </c>
      <c r="C669" s="344"/>
      <c r="D669" s="333"/>
    </row>
    <row r="670" spans="1:4" x14ac:dyDescent="0.2">
      <c r="A670" s="344">
        <v>43304</v>
      </c>
      <c r="B670" s="333">
        <v>167839.6</v>
      </c>
      <c r="C670" s="344"/>
      <c r="D670" s="333"/>
    </row>
    <row r="671" spans="1:4" x14ac:dyDescent="0.2">
      <c r="A671" s="344">
        <v>43305</v>
      </c>
      <c r="B671" s="333">
        <v>167840</v>
      </c>
      <c r="C671" s="344"/>
      <c r="D671" s="333"/>
    </row>
    <row r="672" spans="1:4" x14ac:dyDescent="0.2">
      <c r="A672" s="344">
        <v>43306</v>
      </c>
      <c r="B672" s="333">
        <v>167840</v>
      </c>
      <c r="C672" s="344"/>
      <c r="D672" s="333"/>
    </row>
    <row r="673" spans="1:4" x14ac:dyDescent="0.2">
      <c r="A673" s="344">
        <v>43307</v>
      </c>
      <c r="B673" s="333">
        <v>180485.58</v>
      </c>
      <c r="C673" s="344"/>
      <c r="D673" s="333"/>
    </row>
    <row r="674" spans="1:4" x14ac:dyDescent="0.2">
      <c r="A674" s="344">
        <v>43308</v>
      </c>
      <c r="B674" s="333">
        <v>205676.09</v>
      </c>
      <c r="C674" s="344"/>
      <c r="D674" s="333"/>
    </row>
    <row r="675" spans="1:4" x14ac:dyDescent="0.2">
      <c r="A675" s="344">
        <v>43311</v>
      </c>
      <c r="B675" s="333">
        <v>199229.46</v>
      </c>
      <c r="C675" s="344"/>
      <c r="D675" s="333"/>
    </row>
    <row r="676" spans="1:4" x14ac:dyDescent="0.2">
      <c r="A676" s="344">
        <v>43312</v>
      </c>
      <c r="B676" s="333">
        <v>199612.46</v>
      </c>
      <c r="C676" s="344"/>
      <c r="D676" s="333"/>
    </row>
    <row r="677" spans="1:4" x14ac:dyDescent="0.2">
      <c r="A677" s="344">
        <v>43313</v>
      </c>
      <c r="B677" s="333">
        <v>327321.84000000003</v>
      </c>
      <c r="C677" s="344"/>
      <c r="D677" s="333"/>
    </row>
    <row r="678" spans="1:4" x14ac:dyDescent="0.2">
      <c r="A678" s="344">
        <v>43314</v>
      </c>
      <c r="B678" s="333">
        <v>328551.67</v>
      </c>
      <c r="C678" s="344"/>
      <c r="D678" s="333"/>
    </row>
    <row r="679" spans="1:4" x14ac:dyDescent="0.2">
      <c r="A679" s="344">
        <v>43315</v>
      </c>
      <c r="B679" s="333">
        <v>328552</v>
      </c>
      <c r="C679" s="344"/>
      <c r="D679" s="333"/>
    </row>
    <row r="680" spans="1:4" x14ac:dyDescent="0.2">
      <c r="A680" s="344">
        <v>43318</v>
      </c>
      <c r="B680" s="333">
        <v>293600.95</v>
      </c>
      <c r="C680" s="344"/>
      <c r="D680" s="333"/>
    </row>
    <row r="681" spans="1:4" x14ac:dyDescent="0.2">
      <c r="A681" s="344">
        <v>43319</v>
      </c>
      <c r="B681" s="333">
        <v>298153.56</v>
      </c>
      <c r="C681" s="344"/>
      <c r="D681" s="333"/>
    </row>
    <row r="682" spans="1:4" x14ac:dyDescent="0.2">
      <c r="A682" s="344">
        <v>43320</v>
      </c>
      <c r="B682" s="333">
        <v>298154</v>
      </c>
      <c r="C682" s="344"/>
      <c r="D682" s="333"/>
    </row>
    <row r="683" spans="1:4" x14ac:dyDescent="0.2">
      <c r="A683" s="344">
        <v>43321</v>
      </c>
      <c r="B683" s="333">
        <v>294180.65999999997</v>
      </c>
      <c r="C683" s="344"/>
      <c r="D683" s="333"/>
    </row>
    <row r="684" spans="1:4" x14ac:dyDescent="0.2">
      <c r="A684" s="344">
        <v>43322</v>
      </c>
      <c r="B684" s="333">
        <v>294181</v>
      </c>
      <c r="C684" s="344"/>
      <c r="D684" s="333"/>
    </row>
    <row r="685" spans="1:4" x14ac:dyDescent="0.2">
      <c r="A685" s="344">
        <v>43325</v>
      </c>
      <c r="B685" s="333">
        <v>294679.65999999997</v>
      </c>
      <c r="C685" s="344"/>
      <c r="D685" s="333"/>
    </row>
    <row r="686" spans="1:4" x14ac:dyDescent="0.2">
      <c r="A686" s="344">
        <v>43326</v>
      </c>
      <c r="B686" s="333">
        <v>294680</v>
      </c>
      <c r="C686" s="344"/>
      <c r="D686" s="333"/>
    </row>
    <row r="687" spans="1:4" x14ac:dyDescent="0.2">
      <c r="A687" s="344">
        <v>43327</v>
      </c>
      <c r="B687" s="333">
        <v>294761.65000000002</v>
      </c>
      <c r="C687" s="344"/>
      <c r="D687" s="333"/>
    </row>
    <row r="688" spans="1:4" x14ac:dyDescent="0.2">
      <c r="A688" s="344">
        <v>43328</v>
      </c>
      <c r="B688" s="333">
        <v>290632.52</v>
      </c>
      <c r="C688" s="344"/>
      <c r="D688" s="333"/>
    </row>
    <row r="689" spans="1:4" x14ac:dyDescent="0.2">
      <c r="A689" s="344">
        <v>43329</v>
      </c>
      <c r="B689" s="333">
        <v>290633</v>
      </c>
      <c r="C689" s="344"/>
      <c r="D689" s="333"/>
    </row>
    <row r="690" spans="1:4" x14ac:dyDescent="0.2">
      <c r="A690" s="344">
        <v>43332</v>
      </c>
      <c r="B690" s="333">
        <v>254427.11</v>
      </c>
      <c r="C690" s="344"/>
      <c r="D690" s="333"/>
    </row>
    <row r="691" spans="1:4" x14ac:dyDescent="0.2">
      <c r="A691" s="344">
        <v>43333</v>
      </c>
      <c r="B691" s="333">
        <v>255823.93</v>
      </c>
      <c r="C691" s="344"/>
      <c r="D691" s="333"/>
    </row>
    <row r="692" spans="1:4" x14ac:dyDescent="0.2">
      <c r="A692" s="344">
        <v>43334</v>
      </c>
      <c r="B692" s="333">
        <v>255419.13</v>
      </c>
      <c r="C692" s="344"/>
      <c r="D692" s="333"/>
    </row>
    <row r="693" spans="1:4" x14ac:dyDescent="0.2">
      <c r="A693" s="344">
        <v>43335</v>
      </c>
      <c r="B693" s="333">
        <v>272759.37</v>
      </c>
      <c r="C693" s="344"/>
      <c r="D693" s="333"/>
    </row>
    <row r="694" spans="1:4" x14ac:dyDescent="0.2">
      <c r="A694" s="344">
        <v>43336</v>
      </c>
      <c r="B694" s="333">
        <v>272846.37</v>
      </c>
      <c r="C694" s="344"/>
      <c r="D694" s="333"/>
    </row>
    <row r="695" spans="1:4" x14ac:dyDescent="0.2">
      <c r="A695" s="344">
        <v>43339</v>
      </c>
      <c r="B695" s="333">
        <v>272846</v>
      </c>
      <c r="C695" s="344"/>
      <c r="D695" s="333"/>
    </row>
    <row r="696" spans="1:4" x14ac:dyDescent="0.2">
      <c r="A696" s="344">
        <v>43340</v>
      </c>
      <c r="B696" s="333">
        <v>272846</v>
      </c>
      <c r="C696" s="344"/>
      <c r="D696" s="333"/>
    </row>
    <row r="697" spans="1:4" x14ac:dyDescent="0.2">
      <c r="A697" s="344">
        <v>43341</v>
      </c>
      <c r="B697" s="333">
        <v>276622.58</v>
      </c>
      <c r="C697" s="344"/>
      <c r="D697" s="333"/>
    </row>
    <row r="698" spans="1:4" x14ac:dyDescent="0.2">
      <c r="A698" s="344">
        <v>43342</v>
      </c>
      <c r="B698" s="333">
        <v>276623</v>
      </c>
      <c r="C698" s="344"/>
      <c r="D698" s="333"/>
    </row>
    <row r="699" spans="1:4" x14ac:dyDescent="0.2">
      <c r="A699" s="344">
        <v>43343</v>
      </c>
      <c r="B699" s="333">
        <v>276773.33</v>
      </c>
      <c r="C699" s="344"/>
      <c r="D699" s="333"/>
    </row>
    <row r="700" spans="1:4" x14ac:dyDescent="0.2">
      <c r="A700" s="344">
        <v>43346</v>
      </c>
      <c r="B700" s="333">
        <v>276773</v>
      </c>
      <c r="C700" s="344"/>
      <c r="D700" s="333"/>
    </row>
    <row r="701" spans="1:4" x14ac:dyDescent="0.2">
      <c r="A701" s="344">
        <v>43347</v>
      </c>
      <c r="B701" s="333">
        <v>240090.56</v>
      </c>
      <c r="C701" s="344"/>
      <c r="D701" s="333"/>
    </row>
    <row r="702" spans="1:4" x14ac:dyDescent="0.2">
      <c r="A702" s="344">
        <v>43348</v>
      </c>
      <c r="B702" s="333">
        <v>240091</v>
      </c>
      <c r="C702" s="344"/>
      <c r="D702" s="333"/>
    </row>
    <row r="703" spans="1:4" x14ac:dyDescent="0.2">
      <c r="A703" s="344">
        <v>43349</v>
      </c>
      <c r="B703" s="333">
        <v>237779.31</v>
      </c>
      <c r="C703" s="344"/>
      <c r="D703" s="333"/>
    </row>
    <row r="704" spans="1:4" x14ac:dyDescent="0.2">
      <c r="A704" s="344">
        <v>43350</v>
      </c>
      <c r="B704" s="333">
        <v>237779</v>
      </c>
      <c r="C704" s="344"/>
      <c r="D704" s="333"/>
    </row>
    <row r="705" spans="1:4" x14ac:dyDescent="0.2">
      <c r="A705" s="344">
        <v>43353</v>
      </c>
      <c r="B705" s="333">
        <v>243552.34</v>
      </c>
      <c r="C705" s="344"/>
      <c r="D705" s="333"/>
    </row>
    <row r="706" spans="1:4" x14ac:dyDescent="0.2">
      <c r="A706" s="344">
        <v>43354</v>
      </c>
      <c r="B706" s="333">
        <v>243552</v>
      </c>
      <c r="C706" s="344"/>
      <c r="D706" s="333"/>
    </row>
    <row r="707" spans="1:4" x14ac:dyDescent="0.2">
      <c r="A707" s="344">
        <v>43355</v>
      </c>
      <c r="B707" s="333">
        <v>243552</v>
      </c>
      <c r="C707" s="344"/>
      <c r="D707" s="333"/>
    </row>
    <row r="708" spans="1:4" x14ac:dyDescent="0.2">
      <c r="A708" s="344">
        <v>43356</v>
      </c>
      <c r="B708" s="333">
        <v>266009.96000000002</v>
      </c>
      <c r="C708" s="344"/>
      <c r="D708" s="333"/>
    </row>
    <row r="709" spans="1:4" x14ac:dyDescent="0.2">
      <c r="A709" s="344">
        <v>43357</v>
      </c>
      <c r="B709" s="333">
        <v>266087.59999999998</v>
      </c>
      <c r="C709" s="344"/>
      <c r="D709" s="333"/>
    </row>
    <row r="710" spans="1:4" x14ac:dyDescent="0.2">
      <c r="A710" s="344">
        <v>43360</v>
      </c>
      <c r="B710" s="333">
        <v>229939.6</v>
      </c>
      <c r="C710" s="344"/>
      <c r="D710" s="333"/>
    </row>
    <row r="711" spans="1:4" x14ac:dyDescent="0.2">
      <c r="A711" s="344">
        <v>43361</v>
      </c>
      <c r="B711" s="333">
        <v>229940</v>
      </c>
      <c r="C711" s="344"/>
      <c r="D711" s="333"/>
    </row>
    <row r="712" spans="1:4" x14ac:dyDescent="0.2">
      <c r="A712" s="344">
        <v>43362</v>
      </c>
      <c r="B712" s="333">
        <v>229940</v>
      </c>
      <c r="C712" s="344"/>
      <c r="D712" s="333"/>
    </row>
    <row r="713" spans="1:4" x14ac:dyDescent="0.2">
      <c r="A713" s="344">
        <v>43363</v>
      </c>
      <c r="B713" s="333">
        <v>226983.82</v>
      </c>
      <c r="C713" s="344"/>
      <c r="D713" s="333"/>
    </row>
    <row r="714" spans="1:4" x14ac:dyDescent="0.2">
      <c r="A714" s="344">
        <v>43364</v>
      </c>
      <c r="B714" s="333">
        <v>226983.82</v>
      </c>
      <c r="C714" s="344"/>
      <c r="D714" s="333"/>
    </row>
    <row r="715" spans="1:4" x14ac:dyDescent="0.2">
      <c r="A715" s="344">
        <v>43367</v>
      </c>
      <c r="B715" s="333">
        <v>231167.41</v>
      </c>
      <c r="C715" s="344"/>
      <c r="D715" s="333"/>
    </row>
    <row r="716" spans="1:4" x14ac:dyDescent="0.2">
      <c r="A716" s="344">
        <v>43368</v>
      </c>
      <c r="B716" s="333">
        <v>231298.26</v>
      </c>
      <c r="C716" s="344"/>
      <c r="D716" s="333"/>
    </row>
    <row r="717" spans="1:4" x14ac:dyDescent="0.2">
      <c r="A717" s="344">
        <v>43369</v>
      </c>
      <c r="B717" s="333">
        <v>231298</v>
      </c>
      <c r="C717" s="344"/>
      <c r="D717" s="333"/>
    </row>
    <row r="718" spans="1:4" x14ac:dyDescent="0.2">
      <c r="A718" s="344">
        <v>43370</v>
      </c>
      <c r="B718" s="333">
        <v>218195.44</v>
      </c>
      <c r="C718" s="344"/>
      <c r="D718" s="333"/>
    </row>
    <row r="719" spans="1:4" x14ac:dyDescent="0.2">
      <c r="A719" s="344">
        <v>43371</v>
      </c>
      <c r="B719" s="333">
        <v>218195</v>
      </c>
      <c r="C719" s="344"/>
      <c r="D719" s="333"/>
    </row>
    <row r="720" spans="1:4" x14ac:dyDescent="0.2">
      <c r="A720" s="344">
        <v>43374</v>
      </c>
      <c r="B720" s="333">
        <v>181738.47</v>
      </c>
      <c r="C720" s="344"/>
      <c r="D720" s="333"/>
    </row>
    <row r="721" spans="1:4" x14ac:dyDescent="0.2">
      <c r="A721" s="344">
        <v>43375</v>
      </c>
      <c r="B721" s="333">
        <v>175674.86</v>
      </c>
      <c r="C721" s="344"/>
      <c r="D721" s="333"/>
    </row>
    <row r="722" spans="1:4" x14ac:dyDescent="0.2">
      <c r="A722" s="344">
        <v>43376</v>
      </c>
      <c r="B722" s="333">
        <v>175890.11</v>
      </c>
      <c r="C722" s="344"/>
      <c r="D722" s="333"/>
    </row>
    <row r="723" spans="1:4" x14ac:dyDescent="0.2">
      <c r="A723" s="344">
        <v>43377</v>
      </c>
      <c r="B723" s="333">
        <v>176908.84</v>
      </c>
      <c r="C723" s="344"/>
      <c r="D723" s="333"/>
    </row>
    <row r="724" spans="1:4" x14ac:dyDescent="0.2">
      <c r="A724" s="344">
        <v>43378</v>
      </c>
      <c r="B724" s="333">
        <v>176909</v>
      </c>
      <c r="C724" s="344"/>
      <c r="D724" s="333"/>
    </row>
    <row r="725" spans="1:4" x14ac:dyDescent="0.2">
      <c r="A725" s="344">
        <v>43381</v>
      </c>
      <c r="B725" s="333">
        <v>176909</v>
      </c>
      <c r="C725" s="344"/>
      <c r="D725" s="333"/>
    </row>
    <row r="726" spans="1:4" x14ac:dyDescent="0.2">
      <c r="A726" s="344">
        <v>43382</v>
      </c>
      <c r="B726" s="333">
        <v>226038.22</v>
      </c>
      <c r="C726" s="344"/>
      <c r="D726" s="333"/>
    </row>
    <row r="727" spans="1:4" x14ac:dyDescent="0.2">
      <c r="A727" s="344">
        <v>43383</v>
      </c>
      <c r="B727" s="333">
        <v>226038</v>
      </c>
      <c r="C727" s="344"/>
      <c r="D727" s="333"/>
    </row>
    <row r="728" spans="1:4" x14ac:dyDescent="0.2">
      <c r="A728" s="344">
        <v>43384</v>
      </c>
      <c r="B728" s="333">
        <v>223293.31</v>
      </c>
      <c r="C728" s="344"/>
      <c r="D728" s="333"/>
    </row>
    <row r="729" spans="1:4" x14ac:dyDescent="0.2">
      <c r="A729" s="344">
        <v>43385</v>
      </c>
      <c r="B729" s="333">
        <v>272327.27</v>
      </c>
      <c r="C729" s="344"/>
      <c r="D729" s="333"/>
    </row>
    <row r="730" spans="1:4" x14ac:dyDescent="0.2">
      <c r="A730" s="344">
        <v>43388</v>
      </c>
      <c r="B730" s="333">
        <v>236397.34</v>
      </c>
      <c r="C730" s="344"/>
      <c r="D730" s="333"/>
    </row>
    <row r="731" spans="1:4" x14ac:dyDescent="0.2">
      <c r="A731" s="344">
        <v>43389</v>
      </c>
      <c r="B731" s="333">
        <v>236553.84</v>
      </c>
      <c r="C731" s="344"/>
      <c r="D731" s="333"/>
    </row>
    <row r="732" spans="1:4" x14ac:dyDescent="0.2">
      <c r="A732" s="344">
        <v>43390</v>
      </c>
      <c r="B732" s="333">
        <v>249133.92</v>
      </c>
      <c r="C732" s="344"/>
      <c r="D732" s="333"/>
    </row>
    <row r="733" spans="1:4" x14ac:dyDescent="0.2">
      <c r="A733" s="344">
        <v>43391</v>
      </c>
      <c r="B733" s="333">
        <v>254043.68</v>
      </c>
      <c r="C733" s="344"/>
      <c r="D733" s="333"/>
    </row>
    <row r="734" spans="1:4" x14ac:dyDescent="0.2">
      <c r="A734" s="344">
        <v>43392</v>
      </c>
      <c r="B734" s="333">
        <v>254064.5</v>
      </c>
      <c r="C734" s="344"/>
      <c r="D734" s="333"/>
    </row>
    <row r="735" spans="1:4" x14ac:dyDescent="0.2">
      <c r="A735" s="344">
        <v>43395</v>
      </c>
      <c r="B735" s="333">
        <v>290142.09999999998</v>
      </c>
      <c r="C735" s="344"/>
      <c r="D735" s="333"/>
    </row>
    <row r="736" spans="1:4" x14ac:dyDescent="0.2">
      <c r="A736" s="344">
        <v>43396</v>
      </c>
      <c r="B736" s="333">
        <v>290142</v>
      </c>
      <c r="C736" s="344"/>
      <c r="D736" s="333"/>
    </row>
    <row r="737" spans="1:4" x14ac:dyDescent="0.2">
      <c r="A737" s="344">
        <v>43397</v>
      </c>
      <c r="B737" s="333">
        <v>290034.38</v>
      </c>
      <c r="C737" s="344"/>
      <c r="D737" s="333"/>
    </row>
    <row r="738" spans="1:4" x14ac:dyDescent="0.2">
      <c r="A738" s="344">
        <v>43398</v>
      </c>
      <c r="B738" s="333">
        <v>291747.36</v>
      </c>
      <c r="C738" s="344"/>
      <c r="D738" s="333"/>
    </row>
    <row r="739" spans="1:4" x14ac:dyDescent="0.2">
      <c r="A739" s="344">
        <v>43399</v>
      </c>
      <c r="B739" s="333">
        <v>306637.48</v>
      </c>
      <c r="C739" s="344"/>
      <c r="D739" s="333"/>
    </row>
    <row r="740" spans="1:4" x14ac:dyDescent="0.2">
      <c r="A740" s="344">
        <v>43402</v>
      </c>
      <c r="B740" s="333">
        <v>270401.28999999998</v>
      </c>
      <c r="C740" s="344"/>
      <c r="D740" s="333"/>
    </row>
    <row r="741" spans="1:4" x14ac:dyDescent="0.2">
      <c r="A741" s="344">
        <v>43403</v>
      </c>
      <c r="B741" s="333">
        <v>278028.58</v>
      </c>
      <c r="C741" s="344"/>
      <c r="D741" s="333"/>
    </row>
    <row r="742" spans="1:4" x14ac:dyDescent="0.2">
      <c r="A742" s="344">
        <v>43404</v>
      </c>
      <c r="B742" s="333">
        <v>278029</v>
      </c>
      <c r="C742" s="344"/>
      <c r="D742" s="333"/>
    </row>
    <row r="743" spans="1:4" x14ac:dyDescent="0.2">
      <c r="A743" s="344">
        <v>43405</v>
      </c>
      <c r="B743" s="333">
        <v>279523.53000000003</v>
      </c>
      <c r="C743" s="344"/>
      <c r="D743" s="333"/>
    </row>
    <row r="744" spans="1:4" x14ac:dyDescent="0.2">
      <c r="A744" s="344">
        <v>43406</v>
      </c>
      <c r="B744" s="333">
        <v>303100.06</v>
      </c>
      <c r="C744" s="344"/>
      <c r="D744" s="333"/>
    </row>
    <row r="745" spans="1:4" x14ac:dyDescent="0.2">
      <c r="A745" s="344">
        <v>43409</v>
      </c>
      <c r="B745" s="333">
        <v>303100.06</v>
      </c>
      <c r="C745" s="344"/>
      <c r="D745" s="333"/>
    </row>
    <row r="746" spans="1:4" x14ac:dyDescent="0.2">
      <c r="A746" s="344">
        <v>43410</v>
      </c>
      <c r="B746" s="333">
        <v>303100.06</v>
      </c>
      <c r="C746" s="344"/>
      <c r="D746" s="333"/>
    </row>
    <row r="747" spans="1:4" x14ac:dyDescent="0.2">
      <c r="A747" s="344">
        <v>43411</v>
      </c>
      <c r="B747" s="333">
        <v>303954.14</v>
      </c>
      <c r="C747" s="344"/>
      <c r="D747" s="333"/>
    </row>
    <row r="748" spans="1:4" x14ac:dyDescent="0.2">
      <c r="A748" s="344">
        <v>43412</v>
      </c>
      <c r="B748" s="333">
        <v>294843.14</v>
      </c>
      <c r="C748" s="344"/>
      <c r="D748" s="333"/>
    </row>
    <row r="749" spans="1:4" x14ac:dyDescent="0.2">
      <c r="A749" s="344">
        <v>43413</v>
      </c>
      <c r="B749" s="333">
        <v>294843</v>
      </c>
      <c r="C749" s="344"/>
      <c r="D749" s="333"/>
    </row>
    <row r="750" spans="1:4" x14ac:dyDescent="0.2">
      <c r="A750" s="344">
        <v>43416</v>
      </c>
      <c r="B750" s="333">
        <v>294843</v>
      </c>
      <c r="C750" s="344"/>
      <c r="D750" s="333"/>
    </row>
    <row r="751" spans="1:4" x14ac:dyDescent="0.2">
      <c r="A751" s="344">
        <v>43417</v>
      </c>
      <c r="B751" s="333">
        <v>294843</v>
      </c>
      <c r="C751" s="344"/>
      <c r="D751" s="333"/>
    </row>
    <row r="752" spans="1:4" x14ac:dyDescent="0.2">
      <c r="A752" s="344">
        <v>43418</v>
      </c>
      <c r="B752" s="333">
        <v>259514.47</v>
      </c>
      <c r="C752" s="344"/>
      <c r="D752" s="333"/>
    </row>
    <row r="753" spans="1:4" x14ac:dyDescent="0.2">
      <c r="A753" s="344">
        <v>43419</v>
      </c>
      <c r="B753" s="333">
        <v>255987.45</v>
      </c>
      <c r="C753" s="344"/>
      <c r="D753" s="333"/>
    </row>
    <row r="754" spans="1:4" x14ac:dyDescent="0.2">
      <c r="A754" s="344">
        <v>43420</v>
      </c>
      <c r="B754" s="333">
        <v>255987.45</v>
      </c>
      <c r="C754" s="344"/>
      <c r="D754" s="333"/>
    </row>
    <row r="755" spans="1:4" x14ac:dyDescent="0.2">
      <c r="A755" s="344">
        <v>43423</v>
      </c>
      <c r="B755" s="333">
        <v>255987.45</v>
      </c>
      <c r="C755" s="344"/>
      <c r="D755" s="333"/>
    </row>
    <row r="756" spans="1:4" x14ac:dyDescent="0.2">
      <c r="A756" s="344">
        <v>43424</v>
      </c>
      <c r="B756" s="333">
        <v>254650.75</v>
      </c>
      <c r="C756" s="344"/>
      <c r="D756" s="333"/>
    </row>
    <row r="757" spans="1:4" x14ac:dyDescent="0.2">
      <c r="A757" s="344">
        <v>43425</v>
      </c>
      <c r="B757" s="333">
        <v>298403.21000000002</v>
      </c>
      <c r="C757" s="344"/>
      <c r="D757" s="333"/>
    </row>
    <row r="758" spans="1:4" x14ac:dyDescent="0.2">
      <c r="A758" s="344">
        <v>43426</v>
      </c>
      <c r="B758" s="333">
        <v>300529.64</v>
      </c>
      <c r="C758" s="344"/>
      <c r="D758" s="333"/>
    </row>
    <row r="759" spans="1:4" x14ac:dyDescent="0.2">
      <c r="A759" s="344">
        <v>43427</v>
      </c>
      <c r="B759" s="333">
        <v>300229.64</v>
      </c>
      <c r="C759" s="344"/>
      <c r="D759" s="333"/>
    </row>
    <row r="760" spans="1:4" x14ac:dyDescent="0.2">
      <c r="A760" s="344">
        <v>43430</v>
      </c>
      <c r="B760" s="333">
        <v>300230</v>
      </c>
      <c r="C760" s="344"/>
      <c r="D760" s="333"/>
    </row>
    <row r="761" spans="1:4" x14ac:dyDescent="0.2">
      <c r="A761" s="344">
        <v>43431</v>
      </c>
      <c r="B761" s="333">
        <v>267674.82</v>
      </c>
      <c r="C761" s="344"/>
      <c r="D761" s="333"/>
    </row>
    <row r="762" spans="1:4" x14ac:dyDescent="0.2">
      <c r="A762" s="344">
        <v>43432</v>
      </c>
      <c r="B762" s="333">
        <v>273448.82</v>
      </c>
      <c r="C762" s="344"/>
      <c r="D762" s="333"/>
    </row>
    <row r="763" spans="1:4" x14ac:dyDescent="0.2">
      <c r="A763" s="344">
        <v>43433</v>
      </c>
      <c r="B763" s="333">
        <v>252527.09</v>
      </c>
      <c r="C763" s="344"/>
      <c r="D763" s="333"/>
    </row>
    <row r="764" spans="1:4" x14ac:dyDescent="0.2">
      <c r="A764" s="344">
        <v>43434</v>
      </c>
      <c r="B764" s="333">
        <v>321968.59000000003</v>
      </c>
      <c r="C764" s="344"/>
      <c r="D764" s="333"/>
    </row>
    <row r="765" spans="1:4" x14ac:dyDescent="0.2">
      <c r="A765" s="344">
        <v>43437</v>
      </c>
      <c r="B765" s="333">
        <v>321969</v>
      </c>
      <c r="C765" s="344"/>
      <c r="D765" s="333"/>
    </row>
    <row r="766" spans="1:4" x14ac:dyDescent="0.2">
      <c r="A766" s="344">
        <v>43438</v>
      </c>
      <c r="B766" s="333">
        <v>321969</v>
      </c>
      <c r="C766" s="344"/>
      <c r="D766" s="333"/>
    </row>
    <row r="767" spans="1:4" x14ac:dyDescent="0.2">
      <c r="A767" s="344">
        <v>43439</v>
      </c>
      <c r="B767" s="333">
        <v>321969</v>
      </c>
      <c r="C767" s="344"/>
      <c r="D767" s="333"/>
    </row>
    <row r="768" spans="1:4" x14ac:dyDescent="0.2">
      <c r="A768" s="344">
        <v>43440</v>
      </c>
      <c r="B768" s="333">
        <v>314251.55</v>
      </c>
      <c r="C768" s="344"/>
      <c r="D768" s="333"/>
    </row>
    <row r="769" spans="1:4" x14ac:dyDescent="0.2">
      <c r="A769" s="344">
        <v>43441</v>
      </c>
      <c r="B769" s="333">
        <v>315739.42</v>
      </c>
      <c r="C769" s="344"/>
      <c r="D769" s="333"/>
    </row>
    <row r="770" spans="1:4" x14ac:dyDescent="0.2">
      <c r="A770" s="344">
        <v>43444</v>
      </c>
      <c r="B770" s="333">
        <v>315739</v>
      </c>
      <c r="C770" s="344"/>
      <c r="D770" s="333"/>
    </row>
    <row r="771" spans="1:4" x14ac:dyDescent="0.2">
      <c r="A771" s="344">
        <v>43445</v>
      </c>
      <c r="B771" s="333">
        <v>275506.94</v>
      </c>
      <c r="C771" s="344"/>
      <c r="D771" s="333"/>
    </row>
    <row r="772" spans="1:4" x14ac:dyDescent="0.2">
      <c r="A772" s="344">
        <v>43446</v>
      </c>
      <c r="B772" s="333">
        <v>275507</v>
      </c>
      <c r="C772" s="344"/>
      <c r="D772" s="333"/>
    </row>
    <row r="773" spans="1:4" x14ac:dyDescent="0.2">
      <c r="A773" s="344">
        <v>43447</v>
      </c>
      <c r="B773" s="333">
        <v>289896.89</v>
      </c>
      <c r="C773" s="344"/>
      <c r="D773" s="333"/>
    </row>
    <row r="774" spans="1:4" x14ac:dyDescent="0.2">
      <c r="A774" s="344">
        <v>43448</v>
      </c>
      <c r="B774" s="333">
        <v>313281.34999999998</v>
      </c>
      <c r="C774" s="344"/>
      <c r="D774" s="333"/>
    </row>
    <row r="775" spans="1:4" x14ac:dyDescent="0.2">
      <c r="A775" s="344">
        <v>43451</v>
      </c>
      <c r="B775" s="333">
        <v>313281</v>
      </c>
      <c r="C775" s="344"/>
      <c r="D775" s="333"/>
    </row>
    <row r="776" spans="1:4" x14ac:dyDescent="0.2">
      <c r="A776" s="344">
        <v>43452</v>
      </c>
      <c r="B776" s="333">
        <v>317556.84999999998</v>
      </c>
      <c r="C776" s="344"/>
      <c r="D776" s="333"/>
    </row>
    <row r="777" spans="1:4" x14ac:dyDescent="0.2">
      <c r="A777" s="344">
        <v>43453</v>
      </c>
      <c r="B777" s="333">
        <v>317557</v>
      </c>
      <c r="C777" s="344"/>
      <c r="D777" s="333"/>
    </row>
    <row r="778" spans="1:4" x14ac:dyDescent="0.2">
      <c r="A778" s="344">
        <v>43454</v>
      </c>
      <c r="B778" s="333">
        <v>297159.33</v>
      </c>
      <c r="C778" s="344"/>
      <c r="D778" s="333"/>
    </row>
    <row r="779" spans="1:4" x14ac:dyDescent="0.2">
      <c r="A779" s="344">
        <v>43455</v>
      </c>
      <c r="B779" s="333">
        <v>297159</v>
      </c>
      <c r="C779" s="344"/>
      <c r="D779" s="333"/>
    </row>
    <row r="780" spans="1:4" x14ac:dyDescent="0.2">
      <c r="A780" s="344">
        <v>43458</v>
      </c>
      <c r="B780" s="333">
        <v>260233.37</v>
      </c>
      <c r="C780" s="344"/>
      <c r="D780" s="333"/>
    </row>
    <row r="781" spans="1:4" x14ac:dyDescent="0.2">
      <c r="A781" s="344">
        <v>43459</v>
      </c>
      <c r="B781" s="333">
        <v>260233</v>
      </c>
      <c r="C781" s="344"/>
      <c r="D781" s="333"/>
    </row>
    <row r="782" spans="1:4" x14ac:dyDescent="0.2">
      <c r="A782" s="344">
        <v>43460</v>
      </c>
      <c r="B782" s="333">
        <v>261845.78</v>
      </c>
      <c r="C782" s="344"/>
      <c r="D782" s="333"/>
    </row>
    <row r="783" spans="1:4" x14ac:dyDescent="0.2">
      <c r="A783" s="344">
        <v>43461</v>
      </c>
      <c r="B783" s="333">
        <v>261846</v>
      </c>
      <c r="C783" s="344"/>
      <c r="D783" s="333"/>
    </row>
    <row r="784" spans="1:4" x14ac:dyDescent="0.2">
      <c r="A784" s="344">
        <v>43462</v>
      </c>
      <c r="B784" s="333">
        <v>273805.40000000002</v>
      </c>
      <c r="C784" s="344"/>
      <c r="D784" s="333"/>
    </row>
    <row r="785" spans="1:4" x14ac:dyDescent="0.2">
      <c r="A785" s="344">
        <v>43465</v>
      </c>
      <c r="B785" s="333">
        <v>274101.40000000002</v>
      </c>
      <c r="C785" s="344"/>
      <c r="D785" s="333"/>
    </row>
    <row r="786" spans="1:4" x14ac:dyDescent="0.2">
      <c r="A786" s="344">
        <v>43466</v>
      </c>
      <c r="B786" s="333">
        <v>274101</v>
      </c>
      <c r="C786" s="344"/>
      <c r="D786" s="333"/>
    </row>
    <row r="787" spans="1:4" x14ac:dyDescent="0.2">
      <c r="A787" s="344">
        <v>43467</v>
      </c>
      <c r="B787" s="333">
        <v>299108.40000000002</v>
      </c>
      <c r="C787" s="344"/>
      <c r="D787" s="333"/>
    </row>
    <row r="788" spans="1:4" x14ac:dyDescent="0.2">
      <c r="A788" s="344">
        <v>43468</v>
      </c>
      <c r="B788" s="333">
        <v>298070.78000000003</v>
      </c>
      <c r="C788" s="344"/>
      <c r="D788" s="333"/>
    </row>
    <row r="789" spans="1:4" x14ac:dyDescent="0.2">
      <c r="A789" s="344">
        <v>43469</v>
      </c>
      <c r="B789" s="333">
        <v>298071</v>
      </c>
      <c r="C789" s="344"/>
      <c r="D789" s="333"/>
    </row>
    <row r="790" spans="1:4" x14ac:dyDescent="0.2">
      <c r="A790" s="344">
        <v>43472</v>
      </c>
      <c r="B790" s="333">
        <v>298430.78000000003</v>
      </c>
      <c r="C790" s="344"/>
      <c r="D790" s="333"/>
    </row>
    <row r="791" spans="1:4" x14ac:dyDescent="0.2">
      <c r="A791" s="344">
        <v>43473</v>
      </c>
      <c r="B791" s="333">
        <v>264835.63</v>
      </c>
      <c r="C791" s="344"/>
      <c r="D791" s="333"/>
    </row>
    <row r="792" spans="1:4" x14ac:dyDescent="0.2">
      <c r="A792" s="344">
        <v>43474</v>
      </c>
      <c r="B792" s="333">
        <v>303664.65999999997</v>
      </c>
      <c r="C792" s="344"/>
      <c r="D792" s="333"/>
    </row>
    <row r="793" spans="1:4" x14ac:dyDescent="0.2">
      <c r="A793" s="344">
        <v>43475</v>
      </c>
      <c r="B793" s="333">
        <v>299790.71999999997</v>
      </c>
      <c r="C793" s="344"/>
      <c r="D793" s="333"/>
    </row>
    <row r="794" spans="1:4" x14ac:dyDescent="0.2">
      <c r="A794" s="344">
        <v>43476</v>
      </c>
      <c r="B794" s="370">
        <v>309881.71999999997</v>
      </c>
      <c r="C794" s="344"/>
      <c r="D794" s="333"/>
    </row>
    <row r="795" spans="1:4" x14ac:dyDescent="0.2">
      <c r="A795" s="344">
        <v>43479</v>
      </c>
      <c r="B795" s="333">
        <v>284374.78999999998</v>
      </c>
      <c r="C795" s="344"/>
      <c r="D795" s="333"/>
    </row>
    <row r="796" spans="1:4" x14ac:dyDescent="0.2">
      <c r="A796" s="344">
        <v>43480</v>
      </c>
      <c r="B796" s="333">
        <v>284494.75</v>
      </c>
      <c r="C796" s="344"/>
      <c r="D796" s="333"/>
    </row>
    <row r="797" spans="1:4" x14ac:dyDescent="0.2">
      <c r="A797" s="344">
        <v>43481</v>
      </c>
      <c r="B797" s="333">
        <v>277370.03000000003</v>
      </c>
      <c r="C797" s="344"/>
      <c r="D797" s="333"/>
    </row>
    <row r="798" spans="1:4" x14ac:dyDescent="0.2">
      <c r="A798" s="344">
        <v>43482</v>
      </c>
      <c r="B798" s="333">
        <v>266103.65999999997</v>
      </c>
      <c r="C798" s="344"/>
      <c r="D798" s="333"/>
    </row>
    <row r="799" spans="1:4" x14ac:dyDescent="0.2">
      <c r="A799" s="344">
        <v>43483</v>
      </c>
      <c r="B799" s="333">
        <v>266189.65999999997</v>
      </c>
      <c r="C799" s="344"/>
      <c r="D799" s="333"/>
    </row>
    <row r="800" spans="1:4" x14ac:dyDescent="0.2">
      <c r="A800" s="344">
        <v>43486</v>
      </c>
      <c r="B800" s="333">
        <v>266190</v>
      </c>
      <c r="C800" s="344"/>
      <c r="D800" s="333"/>
    </row>
    <row r="801" spans="1:4" x14ac:dyDescent="0.2">
      <c r="A801" s="344">
        <v>43487</v>
      </c>
      <c r="B801" s="333">
        <v>228832.05</v>
      </c>
      <c r="C801" s="344"/>
      <c r="D801" s="333"/>
    </row>
    <row r="802" spans="1:4" x14ac:dyDescent="0.2">
      <c r="A802" s="344">
        <v>43488</v>
      </c>
      <c r="B802" s="333">
        <v>229285.41</v>
      </c>
      <c r="C802" s="344"/>
      <c r="D802" s="333"/>
    </row>
    <row r="803" spans="1:4" x14ac:dyDescent="0.2">
      <c r="A803" s="344">
        <v>43489</v>
      </c>
      <c r="B803" s="333">
        <v>236709.42</v>
      </c>
      <c r="C803" s="344"/>
      <c r="D803" s="333"/>
    </row>
    <row r="804" spans="1:4" x14ac:dyDescent="0.2">
      <c r="A804" s="344">
        <v>43490</v>
      </c>
      <c r="B804" s="333">
        <v>236709</v>
      </c>
      <c r="C804" s="344"/>
      <c r="D804" s="333"/>
    </row>
    <row r="805" spans="1:4" x14ac:dyDescent="0.2">
      <c r="A805" s="344">
        <v>43493</v>
      </c>
      <c r="B805" s="333">
        <v>236400.88</v>
      </c>
      <c r="C805" s="344"/>
      <c r="D805" s="333"/>
    </row>
    <row r="806" spans="1:4" x14ac:dyDescent="0.2">
      <c r="A806" s="344">
        <v>43494</v>
      </c>
      <c r="B806" s="333">
        <v>236401</v>
      </c>
      <c r="C806" s="344"/>
      <c r="D806" s="333"/>
    </row>
    <row r="807" spans="1:4" x14ac:dyDescent="0.2">
      <c r="A807" s="344">
        <v>43495</v>
      </c>
      <c r="B807" s="333">
        <v>236401</v>
      </c>
      <c r="C807" s="344"/>
      <c r="D807" s="333"/>
    </row>
    <row r="808" spans="1:4" x14ac:dyDescent="0.2">
      <c r="A808" s="344">
        <v>43496</v>
      </c>
      <c r="B808" s="333">
        <v>237605.71</v>
      </c>
      <c r="C808" s="344"/>
      <c r="D808" s="333"/>
    </row>
    <row r="809" spans="1:4" x14ac:dyDescent="0.2">
      <c r="A809" s="344">
        <v>43497</v>
      </c>
      <c r="B809" s="333">
        <v>237728.71</v>
      </c>
      <c r="C809" s="344"/>
      <c r="D809" s="333"/>
    </row>
    <row r="810" spans="1:4" x14ac:dyDescent="0.2">
      <c r="A810" s="344">
        <v>43500</v>
      </c>
      <c r="B810" s="333">
        <v>201980</v>
      </c>
      <c r="C810" s="344"/>
      <c r="D810" s="333"/>
    </row>
    <row r="811" spans="1:4" x14ac:dyDescent="0.2">
      <c r="A811" s="344">
        <v>43501</v>
      </c>
      <c r="B811" s="333">
        <v>225615.34</v>
      </c>
      <c r="C811" s="344"/>
      <c r="D811" s="333"/>
    </row>
    <row r="812" spans="1:4" x14ac:dyDescent="0.2">
      <c r="A812" s="344">
        <v>43502</v>
      </c>
      <c r="B812" s="333">
        <v>225615</v>
      </c>
      <c r="C812" s="344"/>
      <c r="D812" s="333"/>
    </row>
    <row r="813" spans="1:4" x14ac:dyDescent="0.2">
      <c r="A813" s="344">
        <v>43503</v>
      </c>
      <c r="B813" s="333">
        <v>219151.3</v>
      </c>
      <c r="C813" s="344"/>
      <c r="D813" s="333"/>
    </row>
    <row r="814" spans="1:4" x14ac:dyDescent="0.2">
      <c r="A814" s="344">
        <v>43504</v>
      </c>
      <c r="B814" s="333">
        <v>219351.3</v>
      </c>
      <c r="C814" s="344"/>
      <c r="D814" s="333"/>
    </row>
    <row r="815" spans="1:4" x14ac:dyDescent="0.2">
      <c r="A815" s="344">
        <v>43507</v>
      </c>
      <c r="B815" s="333">
        <v>219351</v>
      </c>
      <c r="C815" s="344"/>
      <c r="D815" s="333"/>
    </row>
    <row r="816" spans="1:4" x14ac:dyDescent="0.2">
      <c r="A816" s="344">
        <v>43508</v>
      </c>
      <c r="B816" s="333">
        <v>219351</v>
      </c>
      <c r="C816" s="344"/>
      <c r="D816" s="333"/>
    </row>
    <row r="817" spans="1:4" x14ac:dyDescent="0.2">
      <c r="A817" s="344">
        <v>43509</v>
      </c>
      <c r="B817" s="333">
        <v>219351</v>
      </c>
      <c r="C817" s="344"/>
      <c r="D817" s="333"/>
    </row>
    <row r="818" spans="1:4" x14ac:dyDescent="0.2">
      <c r="A818" s="344">
        <v>43510</v>
      </c>
      <c r="B818" s="333">
        <v>206758.66</v>
      </c>
      <c r="C818" s="344"/>
      <c r="D818" s="333"/>
    </row>
    <row r="819" spans="1:4" x14ac:dyDescent="0.2">
      <c r="A819" s="344">
        <v>43511</v>
      </c>
      <c r="B819" s="333">
        <v>234837.55</v>
      </c>
      <c r="C819" s="344"/>
      <c r="D819" s="333"/>
    </row>
    <row r="820" spans="1:4" x14ac:dyDescent="0.2">
      <c r="A820" s="344">
        <v>43514</v>
      </c>
      <c r="B820" s="333">
        <v>234838</v>
      </c>
      <c r="C820" s="344"/>
      <c r="D820" s="333"/>
    </row>
    <row r="821" spans="1:4" x14ac:dyDescent="0.2">
      <c r="A821" s="344">
        <v>43515</v>
      </c>
      <c r="B821" s="333">
        <v>199113.26</v>
      </c>
      <c r="C821" s="344"/>
      <c r="D821" s="333"/>
    </row>
    <row r="822" spans="1:4" x14ac:dyDescent="0.2">
      <c r="A822" s="344">
        <v>43516</v>
      </c>
      <c r="B822" s="333">
        <v>199113</v>
      </c>
      <c r="C822" s="344"/>
      <c r="D822" s="333"/>
    </row>
    <row r="823" spans="1:4" x14ac:dyDescent="0.2">
      <c r="A823" s="344">
        <v>43517</v>
      </c>
      <c r="B823" s="333">
        <v>205400.17</v>
      </c>
      <c r="C823" s="344"/>
      <c r="D823" s="333"/>
    </row>
    <row r="824" spans="1:4" x14ac:dyDescent="0.2">
      <c r="A824" s="344">
        <v>43518</v>
      </c>
      <c r="B824" s="333">
        <v>220161.91</v>
      </c>
      <c r="C824" s="344"/>
      <c r="D824" s="333"/>
    </row>
    <row r="825" spans="1:4" x14ac:dyDescent="0.2">
      <c r="A825" s="344">
        <v>43521</v>
      </c>
      <c r="B825" s="333">
        <v>220161.91</v>
      </c>
      <c r="C825" s="344"/>
      <c r="D825" s="333"/>
    </row>
    <row r="826" spans="1:4" x14ac:dyDescent="0.2">
      <c r="A826" s="344">
        <v>43522</v>
      </c>
      <c r="B826" s="333">
        <v>220161.91</v>
      </c>
      <c r="C826" s="344"/>
      <c r="D826" s="333"/>
    </row>
    <row r="827" spans="1:4" x14ac:dyDescent="0.2">
      <c r="A827" s="344">
        <v>43523</v>
      </c>
      <c r="B827" s="333">
        <v>220161.91</v>
      </c>
      <c r="C827" s="344"/>
      <c r="D827" s="333"/>
    </row>
    <row r="828" spans="1:4" x14ac:dyDescent="0.2">
      <c r="A828" s="344">
        <v>43524</v>
      </c>
      <c r="B828" s="333">
        <v>224635.26</v>
      </c>
      <c r="C828" s="344"/>
      <c r="D828" s="333"/>
    </row>
    <row r="829" spans="1:4" x14ac:dyDescent="0.2">
      <c r="A829" s="344">
        <v>43525</v>
      </c>
      <c r="B829" s="333">
        <v>298900.61</v>
      </c>
      <c r="C829" s="344"/>
      <c r="D829" s="333"/>
    </row>
    <row r="830" spans="1:4" x14ac:dyDescent="0.2">
      <c r="A830" s="344">
        <v>43528</v>
      </c>
      <c r="B830" s="333">
        <v>262246.8</v>
      </c>
      <c r="C830" s="344"/>
      <c r="D830" s="333"/>
    </row>
    <row r="831" spans="1:4" x14ac:dyDescent="0.2">
      <c r="A831" s="344">
        <v>43529</v>
      </c>
      <c r="B831" s="333">
        <v>262247</v>
      </c>
      <c r="C831" s="344"/>
      <c r="D831" s="333"/>
    </row>
    <row r="832" spans="1:4" x14ac:dyDescent="0.2">
      <c r="A832" s="344">
        <v>43530</v>
      </c>
      <c r="B832" s="333">
        <v>262247</v>
      </c>
      <c r="C832" s="344"/>
      <c r="D832" s="333"/>
    </row>
    <row r="833" spans="1:4" x14ac:dyDescent="0.2">
      <c r="A833" s="344">
        <v>43531</v>
      </c>
      <c r="B833" s="333">
        <v>275395.15000000002</v>
      </c>
      <c r="C833" s="344"/>
      <c r="D833" s="333"/>
    </row>
    <row r="834" spans="1:4" x14ac:dyDescent="0.2">
      <c r="A834" s="344">
        <v>43532</v>
      </c>
      <c r="B834" s="333">
        <v>275395</v>
      </c>
      <c r="C834" s="344"/>
      <c r="D834" s="333"/>
    </row>
    <row r="835" spans="1:4" x14ac:dyDescent="0.2">
      <c r="A835" s="344">
        <v>43535</v>
      </c>
      <c r="B835" s="333">
        <v>275395</v>
      </c>
      <c r="C835" s="344"/>
      <c r="D835" s="333"/>
    </row>
    <row r="836" spans="1:4" x14ac:dyDescent="0.2">
      <c r="A836" s="344">
        <v>43536</v>
      </c>
      <c r="B836" s="333">
        <v>275395</v>
      </c>
      <c r="C836" s="344"/>
      <c r="D836" s="333"/>
    </row>
    <row r="837" spans="1:4" x14ac:dyDescent="0.2">
      <c r="A837" s="344">
        <v>43537</v>
      </c>
      <c r="B837" s="333">
        <v>316802.46999999997</v>
      </c>
      <c r="C837" s="344"/>
      <c r="D837" s="333"/>
    </row>
    <row r="838" spans="1:4" x14ac:dyDescent="0.2">
      <c r="A838" s="344">
        <v>43538</v>
      </c>
      <c r="B838" s="333">
        <v>297067.40000000002</v>
      </c>
      <c r="C838" s="344"/>
      <c r="D838" s="333"/>
    </row>
    <row r="839" spans="1:4" x14ac:dyDescent="0.2">
      <c r="A839" s="344">
        <v>43539</v>
      </c>
      <c r="B839" s="333">
        <v>300574.83</v>
      </c>
      <c r="C839" s="344"/>
      <c r="D839" s="333"/>
    </row>
    <row r="840" spans="1:4" x14ac:dyDescent="0.2">
      <c r="A840" s="344">
        <v>43542</v>
      </c>
      <c r="B840" s="333">
        <v>264695.24</v>
      </c>
      <c r="C840" s="344"/>
      <c r="D840" s="333"/>
    </row>
    <row r="841" spans="1:4" x14ac:dyDescent="0.2">
      <c r="A841" s="344">
        <v>43543</v>
      </c>
      <c r="B841" s="333">
        <v>264695</v>
      </c>
      <c r="C841" s="344"/>
      <c r="D841" s="333"/>
    </row>
    <row r="842" spans="1:4" x14ac:dyDescent="0.2">
      <c r="A842" s="344">
        <v>43544</v>
      </c>
      <c r="B842" s="333">
        <v>264695</v>
      </c>
      <c r="C842" s="344"/>
      <c r="D842" s="333"/>
    </row>
    <row r="843" spans="1:4" x14ac:dyDescent="0.2">
      <c r="A843" s="344">
        <v>43545</v>
      </c>
      <c r="B843" s="333">
        <v>282838.67</v>
      </c>
      <c r="C843" s="344"/>
      <c r="D843" s="333"/>
    </row>
    <row r="844" spans="1:4" x14ac:dyDescent="0.2">
      <c r="A844" s="344">
        <v>43546</v>
      </c>
      <c r="B844" s="333">
        <v>282839</v>
      </c>
      <c r="C844" s="344"/>
      <c r="D844" s="333"/>
    </row>
    <row r="845" spans="1:4" x14ac:dyDescent="0.2">
      <c r="A845" s="344">
        <v>43549</v>
      </c>
      <c r="B845" s="370">
        <v>333807.26</v>
      </c>
      <c r="C845" s="344"/>
      <c r="D845" s="333"/>
    </row>
    <row r="846" spans="1:4" x14ac:dyDescent="0.2">
      <c r="A846" s="344">
        <v>43550</v>
      </c>
      <c r="B846" s="333">
        <v>332295.96000000002</v>
      </c>
      <c r="C846" s="344"/>
      <c r="D846" s="333"/>
    </row>
    <row r="847" spans="1:4" x14ac:dyDescent="0.2">
      <c r="A847" s="344">
        <v>43551</v>
      </c>
      <c r="B847" s="333">
        <v>325401.01</v>
      </c>
      <c r="C847" s="344"/>
      <c r="D847" s="333"/>
    </row>
    <row r="848" spans="1:4" x14ac:dyDescent="0.2">
      <c r="A848" s="344">
        <v>43552</v>
      </c>
      <c r="B848" s="333">
        <v>328793.55</v>
      </c>
      <c r="C848" s="344"/>
      <c r="D848" s="333"/>
    </row>
    <row r="849" spans="1:4" x14ac:dyDescent="0.2">
      <c r="A849" s="344">
        <v>43553</v>
      </c>
      <c r="B849" s="333">
        <v>329088.55</v>
      </c>
      <c r="C849" s="344"/>
      <c r="D849" s="333"/>
    </row>
    <row r="850" spans="1:4" x14ac:dyDescent="0.2">
      <c r="A850" s="344">
        <v>43556</v>
      </c>
      <c r="B850" s="333">
        <v>328488.55</v>
      </c>
      <c r="C850" s="344"/>
      <c r="D850" s="333"/>
    </row>
    <row r="851" spans="1:4" x14ac:dyDescent="0.2">
      <c r="A851" s="344">
        <v>43557</v>
      </c>
      <c r="B851" s="333">
        <v>292528.71999999997</v>
      </c>
      <c r="C851" s="344"/>
      <c r="D851" s="333"/>
    </row>
    <row r="852" spans="1:4" x14ac:dyDescent="0.2">
      <c r="A852" s="344">
        <v>43558</v>
      </c>
      <c r="B852" s="333">
        <v>294672.43</v>
      </c>
      <c r="C852" s="344"/>
      <c r="D852" s="333"/>
    </row>
    <row r="853" spans="1:4" x14ac:dyDescent="0.2">
      <c r="A853" s="344">
        <v>43559</v>
      </c>
      <c r="B853" s="333">
        <v>292850.33</v>
      </c>
      <c r="C853" s="344"/>
      <c r="D853" s="333"/>
    </row>
    <row r="854" spans="1:4" x14ac:dyDescent="0.2">
      <c r="A854" s="344">
        <v>43560</v>
      </c>
      <c r="B854" s="333">
        <v>284702.78999999998</v>
      </c>
      <c r="C854" s="344"/>
      <c r="D854" s="333"/>
    </row>
    <row r="855" spans="1:4" x14ac:dyDescent="0.2">
      <c r="A855" s="344">
        <v>43563</v>
      </c>
      <c r="B855" s="333">
        <v>284703</v>
      </c>
      <c r="C855" s="344"/>
      <c r="D855" s="333"/>
    </row>
    <row r="856" spans="1:4" x14ac:dyDescent="0.2">
      <c r="A856" s="344">
        <v>43564</v>
      </c>
      <c r="B856" s="333">
        <v>284775.52</v>
      </c>
      <c r="C856" s="344"/>
      <c r="D856" s="333"/>
    </row>
    <row r="857" spans="1:4" x14ac:dyDescent="0.2">
      <c r="A857" s="344">
        <v>43565</v>
      </c>
      <c r="B857" s="333">
        <v>284776</v>
      </c>
      <c r="C857" s="344"/>
      <c r="D857" s="333"/>
    </row>
    <row r="858" spans="1:4" x14ac:dyDescent="0.2">
      <c r="A858" s="344">
        <v>43566</v>
      </c>
      <c r="B858" s="333">
        <v>277335.02</v>
      </c>
      <c r="C858" s="344"/>
      <c r="D858" s="333"/>
    </row>
    <row r="859" spans="1:4" x14ac:dyDescent="0.2">
      <c r="A859" s="344">
        <v>43567</v>
      </c>
      <c r="B859" s="333">
        <v>277335</v>
      </c>
      <c r="C859" s="344"/>
      <c r="D859" s="333"/>
    </row>
    <row r="860" spans="1:4" x14ac:dyDescent="0.2">
      <c r="A860" s="344">
        <v>43570</v>
      </c>
      <c r="B860" s="333">
        <v>277462.90999999997</v>
      </c>
      <c r="C860" s="344"/>
      <c r="D860" s="333"/>
    </row>
    <row r="861" spans="1:4" x14ac:dyDescent="0.2">
      <c r="A861" s="344">
        <v>43571</v>
      </c>
      <c r="B861" s="333">
        <v>241180.07</v>
      </c>
      <c r="C861" s="344"/>
      <c r="D861" s="333"/>
    </row>
    <row r="862" spans="1:4" x14ac:dyDescent="0.2">
      <c r="A862" s="344">
        <v>43572</v>
      </c>
      <c r="B862" s="333">
        <v>257634.61</v>
      </c>
      <c r="C862" s="344"/>
      <c r="D862" s="333"/>
    </row>
    <row r="863" spans="1:4" x14ac:dyDescent="0.2">
      <c r="A863" s="344">
        <v>43573</v>
      </c>
      <c r="B863" s="333">
        <v>241154.55</v>
      </c>
      <c r="C863" s="344"/>
      <c r="D863" s="333"/>
    </row>
    <row r="864" spans="1:4" x14ac:dyDescent="0.2">
      <c r="A864" s="344">
        <v>43574</v>
      </c>
      <c r="B864" s="333">
        <v>243162.78</v>
      </c>
      <c r="C864" s="344"/>
      <c r="D864" s="333"/>
    </row>
    <row r="865" spans="1:4" x14ac:dyDescent="0.2">
      <c r="A865" s="344">
        <v>43577</v>
      </c>
      <c r="B865" s="333">
        <v>243003.93</v>
      </c>
      <c r="C865" s="344"/>
      <c r="D865" s="333"/>
    </row>
    <row r="866" spans="1:4" x14ac:dyDescent="0.2">
      <c r="A866" s="344">
        <v>43578</v>
      </c>
      <c r="B866" s="333">
        <v>243004</v>
      </c>
      <c r="C866" s="344"/>
      <c r="D866" s="333"/>
    </row>
    <row r="867" spans="1:4" x14ac:dyDescent="0.2">
      <c r="A867" s="344">
        <v>43579</v>
      </c>
      <c r="B867" s="333">
        <v>243060.55</v>
      </c>
      <c r="C867" s="344"/>
      <c r="D867" s="333"/>
    </row>
    <row r="868" spans="1:4" x14ac:dyDescent="0.2">
      <c r="A868" s="344">
        <v>43580</v>
      </c>
      <c r="B868" s="333">
        <v>245074.5</v>
      </c>
      <c r="C868" s="344"/>
      <c r="D868" s="333"/>
    </row>
    <row r="869" spans="1:4" x14ac:dyDescent="0.2">
      <c r="A869" s="344">
        <v>43581</v>
      </c>
      <c r="B869" s="333">
        <v>274493.84000000003</v>
      </c>
      <c r="C869" s="344"/>
      <c r="D869" s="333"/>
    </row>
    <row r="870" spans="1:4" x14ac:dyDescent="0.2">
      <c r="A870" s="344">
        <v>43584</v>
      </c>
      <c r="B870" s="333">
        <v>274494</v>
      </c>
      <c r="C870" s="344"/>
      <c r="D870" s="333"/>
    </row>
    <row r="871" spans="1:4" x14ac:dyDescent="0.2">
      <c r="A871" s="344">
        <v>43585</v>
      </c>
      <c r="B871" s="333">
        <v>268536.75</v>
      </c>
      <c r="C871" s="344"/>
      <c r="D871" s="333"/>
    </row>
    <row r="872" spans="1:4" x14ac:dyDescent="0.2">
      <c r="A872" s="344">
        <v>43586</v>
      </c>
      <c r="B872" s="333">
        <v>249086.1</v>
      </c>
      <c r="C872" s="344"/>
      <c r="D872" s="333"/>
    </row>
    <row r="873" spans="1:4" x14ac:dyDescent="0.2">
      <c r="A873" s="344">
        <v>43587</v>
      </c>
      <c r="B873" s="333">
        <v>253347.36</v>
      </c>
      <c r="C873" s="344"/>
      <c r="D873" s="333"/>
    </row>
    <row r="874" spans="1:4" x14ac:dyDescent="0.2">
      <c r="A874" s="344">
        <v>43588</v>
      </c>
      <c r="B874" s="333">
        <v>253347</v>
      </c>
      <c r="C874" s="344"/>
      <c r="D874" s="333"/>
    </row>
    <row r="875" spans="1:4" x14ac:dyDescent="0.2">
      <c r="A875" s="344">
        <v>43591</v>
      </c>
      <c r="B875" s="333">
        <v>253347</v>
      </c>
      <c r="C875" s="344"/>
      <c r="D875" s="333"/>
    </row>
    <row r="876" spans="1:4" x14ac:dyDescent="0.2">
      <c r="A876" s="344">
        <v>43592</v>
      </c>
      <c r="B876" s="333">
        <v>253347</v>
      </c>
      <c r="C876" s="344"/>
      <c r="D876" s="333"/>
    </row>
    <row r="877" spans="1:4" x14ac:dyDescent="0.2">
      <c r="A877" s="344">
        <v>43593</v>
      </c>
      <c r="B877" s="333">
        <v>253347</v>
      </c>
      <c r="C877" s="344"/>
      <c r="D877" s="333"/>
    </row>
    <row r="878" spans="1:4" x14ac:dyDescent="0.2">
      <c r="A878" s="344">
        <v>43594</v>
      </c>
      <c r="B878" s="333">
        <v>256363.47</v>
      </c>
      <c r="C878" s="344"/>
      <c r="D878" s="333"/>
    </row>
    <row r="879" spans="1:4" x14ac:dyDescent="0.2">
      <c r="A879" s="344">
        <v>43595</v>
      </c>
      <c r="B879" s="333">
        <v>256363</v>
      </c>
      <c r="C879" s="344"/>
      <c r="D879" s="333"/>
    </row>
    <row r="880" spans="1:4" x14ac:dyDescent="0.2">
      <c r="A880" s="344">
        <v>43598</v>
      </c>
      <c r="B880" s="333">
        <v>256363</v>
      </c>
      <c r="C880" s="344"/>
      <c r="D880" s="333"/>
    </row>
    <row r="881" spans="1:4" x14ac:dyDescent="0.2">
      <c r="A881" s="344">
        <v>43599</v>
      </c>
      <c r="B881" s="333">
        <v>220671.47</v>
      </c>
      <c r="C881" s="344"/>
      <c r="D881" s="333"/>
    </row>
    <row r="882" spans="1:4" x14ac:dyDescent="0.2">
      <c r="A882" s="344">
        <v>43600</v>
      </c>
      <c r="B882" s="333">
        <v>248680.89</v>
      </c>
      <c r="C882" s="344"/>
      <c r="D882" s="333"/>
    </row>
    <row r="883" spans="1:4" x14ac:dyDescent="0.2">
      <c r="A883" s="344">
        <v>43601</v>
      </c>
      <c r="B883" s="333">
        <v>254567.98</v>
      </c>
      <c r="C883" s="344"/>
      <c r="D883" s="333"/>
    </row>
    <row r="884" spans="1:4" x14ac:dyDescent="0.2">
      <c r="A884" s="344">
        <v>43602</v>
      </c>
      <c r="B884" s="333">
        <v>310563.12</v>
      </c>
      <c r="C884" s="344"/>
      <c r="D884" s="333"/>
    </row>
    <row r="885" spans="1:4" x14ac:dyDescent="0.2">
      <c r="A885" s="344">
        <v>43605</v>
      </c>
      <c r="B885" s="333">
        <v>310000.12</v>
      </c>
      <c r="C885" s="344"/>
      <c r="D885" s="333"/>
    </row>
    <row r="886" spans="1:4" x14ac:dyDescent="0.2">
      <c r="A886" s="344">
        <v>43606</v>
      </c>
      <c r="B886" s="333">
        <v>310000.12</v>
      </c>
      <c r="C886" s="344"/>
      <c r="D886" s="333"/>
    </row>
    <row r="887" spans="1:4" x14ac:dyDescent="0.2">
      <c r="A887" s="344">
        <v>43607</v>
      </c>
      <c r="B887" s="333">
        <v>310000.12</v>
      </c>
      <c r="C887" s="344"/>
      <c r="D887" s="333"/>
    </row>
    <row r="888" spans="1:4" x14ac:dyDescent="0.2">
      <c r="A888" s="344">
        <v>43608</v>
      </c>
      <c r="B888" s="333">
        <v>300109.28999999998</v>
      </c>
      <c r="C888" s="344"/>
      <c r="D888" s="333"/>
    </row>
    <row r="889" spans="1:4" x14ac:dyDescent="0.2">
      <c r="A889" s="344">
        <v>43609</v>
      </c>
      <c r="B889" s="333">
        <v>297396.90999999997</v>
      </c>
      <c r="C889" s="344"/>
      <c r="D889" s="333"/>
    </row>
    <row r="890" spans="1:4" x14ac:dyDescent="0.2">
      <c r="A890" s="344">
        <v>43612</v>
      </c>
      <c r="B890" s="333">
        <v>297397</v>
      </c>
      <c r="C890" s="344"/>
      <c r="D890" s="333"/>
    </row>
    <row r="891" spans="1:4" x14ac:dyDescent="0.2">
      <c r="A891" s="344">
        <v>43613</v>
      </c>
      <c r="B891" s="333">
        <v>309520.18</v>
      </c>
      <c r="C891" s="344"/>
      <c r="D891" s="333"/>
    </row>
    <row r="892" spans="1:4" x14ac:dyDescent="0.2">
      <c r="A892" s="344">
        <v>43614</v>
      </c>
      <c r="B892" s="333">
        <v>309520</v>
      </c>
      <c r="C892" s="344"/>
      <c r="D892" s="333"/>
    </row>
    <row r="893" spans="1:4" x14ac:dyDescent="0.2">
      <c r="A893" s="344">
        <v>43615</v>
      </c>
      <c r="B893" s="333">
        <v>306153.90000000002</v>
      </c>
      <c r="C893" s="344"/>
      <c r="D893" s="333"/>
    </row>
    <row r="894" spans="1:4" x14ac:dyDescent="0.2">
      <c r="A894" s="344">
        <v>43616</v>
      </c>
      <c r="B894" s="333">
        <v>307621.78000000003</v>
      </c>
      <c r="C894" s="344"/>
      <c r="D894" s="333"/>
    </row>
    <row r="895" spans="1:4" x14ac:dyDescent="0.2">
      <c r="A895" s="344">
        <v>43619</v>
      </c>
      <c r="B895" s="333">
        <v>307288.12</v>
      </c>
      <c r="C895" s="344"/>
      <c r="D895" s="333"/>
    </row>
    <row r="896" spans="1:4" x14ac:dyDescent="0.2">
      <c r="A896" s="344">
        <v>43620</v>
      </c>
      <c r="B896" s="333">
        <v>307288</v>
      </c>
      <c r="C896" s="344"/>
      <c r="D896" s="333"/>
    </row>
    <row r="897" spans="1:4" x14ac:dyDescent="0.2">
      <c r="A897" s="344">
        <v>43621</v>
      </c>
      <c r="B897" s="333">
        <v>307288</v>
      </c>
      <c r="C897" s="344"/>
      <c r="D897" s="333"/>
    </row>
    <row r="898" spans="1:4" x14ac:dyDescent="0.2">
      <c r="A898" s="344">
        <v>43622</v>
      </c>
      <c r="B898" s="333">
        <v>296580.19</v>
      </c>
      <c r="C898" s="344"/>
      <c r="D898" s="333"/>
    </row>
    <row r="899" spans="1:4" x14ac:dyDescent="0.2">
      <c r="A899" s="344">
        <v>43623</v>
      </c>
      <c r="B899" s="333">
        <v>295981.95</v>
      </c>
      <c r="C899" s="344"/>
      <c r="D899" s="333"/>
    </row>
    <row r="900" spans="1:4" x14ac:dyDescent="0.2">
      <c r="A900" s="344">
        <v>43626</v>
      </c>
      <c r="B900" s="333">
        <v>260513.06</v>
      </c>
      <c r="C900" s="344"/>
      <c r="D900" s="333"/>
    </row>
    <row r="901" spans="1:4" x14ac:dyDescent="0.2">
      <c r="A901" s="344">
        <v>43627</v>
      </c>
      <c r="B901" s="333">
        <v>260513</v>
      </c>
      <c r="C901" s="344"/>
      <c r="D901" s="333"/>
    </row>
    <row r="902" spans="1:4" x14ac:dyDescent="0.2">
      <c r="A902" s="344">
        <v>43628</v>
      </c>
      <c r="B902" s="333">
        <v>260513</v>
      </c>
      <c r="C902" s="344"/>
      <c r="D902" s="333"/>
    </row>
    <row r="903" spans="1:4" x14ac:dyDescent="0.2">
      <c r="A903" s="344">
        <v>43629</v>
      </c>
      <c r="B903" s="333">
        <v>255966.98</v>
      </c>
      <c r="C903" s="344"/>
      <c r="D903" s="333"/>
    </row>
    <row r="904" spans="1:4" x14ac:dyDescent="0.2">
      <c r="A904" s="344">
        <v>43630</v>
      </c>
      <c r="B904" s="333">
        <v>257507.94</v>
      </c>
      <c r="C904" s="344"/>
      <c r="D904" s="333"/>
    </row>
    <row r="905" spans="1:4" x14ac:dyDescent="0.2">
      <c r="A905" s="344">
        <v>43633</v>
      </c>
      <c r="B905" s="333">
        <v>257508</v>
      </c>
      <c r="C905" s="344"/>
      <c r="D905" s="333"/>
    </row>
    <row r="906" spans="1:4" x14ac:dyDescent="0.2">
      <c r="A906" s="344">
        <v>43634</v>
      </c>
      <c r="B906" s="333">
        <v>257508</v>
      </c>
      <c r="C906" s="344"/>
      <c r="D906" s="333"/>
    </row>
    <row r="907" spans="1:4" x14ac:dyDescent="0.2">
      <c r="A907" s="344">
        <v>43635</v>
      </c>
      <c r="B907" s="333">
        <v>257508</v>
      </c>
      <c r="C907" s="344"/>
      <c r="D907" s="333"/>
    </row>
    <row r="908" spans="1:4" x14ac:dyDescent="0.2">
      <c r="A908" s="344">
        <v>43636</v>
      </c>
      <c r="B908" s="333">
        <v>245601.94</v>
      </c>
      <c r="C908" s="344"/>
      <c r="D908" s="333"/>
    </row>
    <row r="909" spans="1:4" x14ac:dyDescent="0.2">
      <c r="A909" s="344">
        <v>43637</v>
      </c>
      <c r="B909" s="333">
        <v>245768.94</v>
      </c>
      <c r="C909" s="344"/>
      <c r="D909" s="333"/>
    </row>
    <row r="910" spans="1:4" x14ac:dyDescent="0.2">
      <c r="A910" s="344">
        <v>43640</v>
      </c>
      <c r="B910" s="333">
        <v>245769</v>
      </c>
      <c r="C910" s="344"/>
      <c r="D910" s="333"/>
    </row>
    <row r="911" spans="1:4" x14ac:dyDescent="0.2">
      <c r="A911" s="344">
        <v>43641</v>
      </c>
      <c r="B911" s="333">
        <v>209143.06</v>
      </c>
      <c r="C911" s="344"/>
      <c r="D911" s="333"/>
    </row>
    <row r="912" spans="1:4" x14ac:dyDescent="0.2">
      <c r="A912" s="344">
        <v>43642</v>
      </c>
      <c r="B912" s="333">
        <v>216087.16</v>
      </c>
      <c r="C912" s="344"/>
      <c r="D912" s="333"/>
    </row>
    <row r="913" spans="1:4" x14ac:dyDescent="0.2">
      <c r="A913" s="344">
        <v>43643</v>
      </c>
      <c r="B913" s="333">
        <v>218399.34</v>
      </c>
      <c r="C913" s="344"/>
      <c r="D913" s="333"/>
    </row>
    <row r="914" spans="1:4" x14ac:dyDescent="0.2">
      <c r="A914" s="344">
        <v>43644</v>
      </c>
      <c r="B914" s="333">
        <v>246675.15</v>
      </c>
      <c r="C914" s="344"/>
      <c r="D914" s="333"/>
    </row>
    <row r="915" spans="1:4" x14ac:dyDescent="0.2">
      <c r="A915" s="344">
        <v>43647</v>
      </c>
      <c r="B915" s="333">
        <v>246675</v>
      </c>
      <c r="C915" s="344"/>
      <c r="D915" s="333"/>
    </row>
    <row r="916" spans="1:4" x14ac:dyDescent="0.2">
      <c r="A916" s="344">
        <v>43648</v>
      </c>
      <c r="B916" s="333">
        <v>248377.32</v>
      </c>
      <c r="C916" s="344"/>
      <c r="D916" s="333"/>
    </row>
    <row r="917" spans="1:4" x14ac:dyDescent="0.2">
      <c r="A917" s="344">
        <v>43649</v>
      </c>
      <c r="B917" s="333">
        <v>277944.71000000002</v>
      </c>
      <c r="C917" s="344"/>
      <c r="D917" s="333"/>
    </row>
    <row r="918" spans="1:4" x14ac:dyDescent="0.2">
      <c r="A918" s="344">
        <v>43650</v>
      </c>
      <c r="B918" s="333">
        <v>277945</v>
      </c>
      <c r="C918" s="344"/>
      <c r="D918" s="333"/>
    </row>
    <row r="919" spans="1:4" x14ac:dyDescent="0.2">
      <c r="A919" s="344">
        <v>43651</v>
      </c>
      <c r="B919" s="333">
        <v>278046.71000000002</v>
      </c>
      <c r="C919" s="344"/>
      <c r="D919" s="333"/>
    </row>
    <row r="920" spans="1:4" x14ac:dyDescent="0.2">
      <c r="A920" s="344">
        <v>43654</v>
      </c>
      <c r="B920" s="333">
        <v>282590.19</v>
      </c>
      <c r="C920" s="344"/>
      <c r="D920" s="333"/>
    </row>
    <row r="921" spans="1:4" x14ac:dyDescent="0.2">
      <c r="A921" s="344">
        <v>43655</v>
      </c>
      <c r="B921" s="333">
        <v>247195.73</v>
      </c>
      <c r="C921" s="344"/>
      <c r="D921" s="333"/>
    </row>
    <row r="922" spans="1:4" x14ac:dyDescent="0.2">
      <c r="A922" s="344">
        <v>43656</v>
      </c>
      <c r="B922" s="333">
        <v>247195.73</v>
      </c>
      <c r="C922" s="344"/>
      <c r="D922" s="333"/>
    </row>
    <row r="923" spans="1:4" x14ac:dyDescent="0.2">
      <c r="A923" s="344">
        <v>43657</v>
      </c>
      <c r="B923" s="333">
        <v>235813.1</v>
      </c>
      <c r="C923" s="344"/>
      <c r="D923" s="333"/>
    </row>
    <row r="924" spans="1:4" x14ac:dyDescent="0.2">
      <c r="A924" s="344">
        <v>43658</v>
      </c>
      <c r="B924" s="333">
        <v>237210.07</v>
      </c>
      <c r="C924" s="344"/>
      <c r="D924" s="333"/>
    </row>
    <row r="925" spans="1:4" x14ac:dyDescent="0.2">
      <c r="A925" s="344">
        <v>43661</v>
      </c>
      <c r="B925" s="333">
        <v>237490.39</v>
      </c>
      <c r="C925" s="344"/>
      <c r="D925" s="333"/>
    </row>
    <row r="926" spans="1:4" x14ac:dyDescent="0.2">
      <c r="A926" s="344">
        <v>43662</v>
      </c>
      <c r="B926" s="333">
        <v>237490</v>
      </c>
      <c r="C926" s="344"/>
      <c r="D926" s="333"/>
    </row>
    <row r="927" spans="1:4" x14ac:dyDescent="0.2">
      <c r="A927" s="344">
        <v>43663</v>
      </c>
      <c r="B927" s="333">
        <v>237490.39</v>
      </c>
      <c r="C927" s="344"/>
      <c r="D927" s="333"/>
    </row>
    <row r="928" spans="1:4" x14ac:dyDescent="0.2">
      <c r="A928" s="344">
        <v>43664</v>
      </c>
      <c r="B928" s="333">
        <v>232593.57</v>
      </c>
      <c r="C928" s="344"/>
      <c r="D928" s="333"/>
    </row>
    <row r="929" spans="1:4" x14ac:dyDescent="0.2">
      <c r="A929" s="344">
        <v>43665</v>
      </c>
      <c r="B929" s="333">
        <v>232923.06</v>
      </c>
      <c r="C929" s="344"/>
      <c r="D929" s="333"/>
    </row>
    <row r="930" spans="1:4" x14ac:dyDescent="0.2">
      <c r="A930" s="344">
        <v>43668</v>
      </c>
      <c r="B930" s="333">
        <v>196798.51</v>
      </c>
      <c r="C930" s="344"/>
      <c r="D930" s="333"/>
    </row>
    <row r="931" spans="1:4" x14ac:dyDescent="0.2">
      <c r="A931" s="344">
        <v>43669</v>
      </c>
      <c r="B931" s="333">
        <v>199629.38</v>
      </c>
      <c r="C931" s="344"/>
      <c r="D931" s="333"/>
    </row>
    <row r="932" spans="1:4" x14ac:dyDescent="0.2">
      <c r="A932" s="344">
        <v>43670</v>
      </c>
      <c r="B932" s="333">
        <v>199629</v>
      </c>
      <c r="C932" s="344"/>
      <c r="D932" s="333"/>
    </row>
    <row r="933" spans="1:4" x14ac:dyDescent="0.2">
      <c r="A933" s="344">
        <v>43671</v>
      </c>
      <c r="B933" s="333">
        <v>195151.45</v>
      </c>
      <c r="C933" s="344"/>
      <c r="D933" s="333"/>
    </row>
    <row r="934" spans="1:4" x14ac:dyDescent="0.2">
      <c r="A934" s="344">
        <v>43672</v>
      </c>
      <c r="B934" s="333">
        <v>228843.78</v>
      </c>
      <c r="C934" s="344"/>
      <c r="D934" s="333"/>
    </row>
    <row r="935" spans="1:4" x14ac:dyDescent="0.2">
      <c r="A935" s="344">
        <v>43675</v>
      </c>
      <c r="B935" s="333">
        <v>228844</v>
      </c>
      <c r="C935" s="344"/>
      <c r="D935" s="333"/>
    </row>
    <row r="936" spans="1:4" x14ac:dyDescent="0.2">
      <c r="A936" s="344">
        <v>43676</v>
      </c>
      <c r="B936" s="333">
        <v>228844</v>
      </c>
      <c r="C936" s="344"/>
      <c r="D936" s="333"/>
    </row>
    <row r="937" spans="1:4" x14ac:dyDescent="0.2">
      <c r="A937" s="344">
        <v>43677</v>
      </c>
      <c r="B937" s="333">
        <v>229051.78</v>
      </c>
      <c r="C937" s="344"/>
      <c r="D937" s="333"/>
    </row>
    <row r="938" spans="1:4" x14ac:dyDescent="0.2">
      <c r="A938" s="344">
        <v>43678</v>
      </c>
      <c r="B938" s="333">
        <v>234767.17</v>
      </c>
      <c r="C938" s="344"/>
      <c r="D938" s="333"/>
    </row>
    <row r="939" spans="1:4" x14ac:dyDescent="0.2">
      <c r="A939" s="344">
        <v>43679</v>
      </c>
      <c r="B939" s="333">
        <v>236117.76000000001</v>
      </c>
      <c r="C939" s="344"/>
      <c r="D939" s="333"/>
    </row>
    <row r="940" spans="1:4" x14ac:dyDescent="0.2">
      <c r="A940" s="344">
        <v>43682</v>
      </c>
      <c r="B940" s="333">
        <v>236118</v>
      </c>
      <c r="C940" s="344"/>
      <c r="D940" s="333"/>
    </row>
    <row r="941" spans="1:4" x14ac:dyDescent="0.2">
      <c r="A941" s="344">
        <v>43683</v>
      </c>
      <c r="B941" s="333">
        <v>208888.5</v>
      </c>
      <c r="C941" s="344"/>
      <c r="D941" s="333"/>
    </row>
    <row r="942" spans="1:4" x14ac:dyDescent="0.2">
      <c r="A942" s="344">
        <v>43684</v>
      </c>
      <c r="B942" s="333">
        <v>208792.5</v>
      </c>
      <c r="C942" s="344"/>
      <c r="D942" s="333"/>
    </row>
    <row r="943" spans="1:4" x14ac:dyDescent="0.2">
      <c r="A943" s="344">
        <v>43685</v>
      </c>
      <c r="B943" s="333">
        <v>203219.37</v>
      </c>
      <c r="C943" s="344"/>
      <c r="D943" s="333"/>
    </row>
    <row r="944" spans="1:4" x14ac:dyDescent="0.2">
      <c r="A944" s="344">
        <v>43686</v>
      </c>
      <c r="B944" s="333">
        <v>205639.37</v>
      </c>
      <c r="C944" s="344"/>
      <c r="D944" s="333"/>
    </row>
    <row r="945" spans="1:4" x14ac:dyDescent="0.2">
      <c r="A945" s="344">
        <v>43689</v>
      </c>
      <c r="B945" s="333">
        <v>205639.37</v>
      </c>
      <c r="C945" s="344"/>
      <c r="D945" s="333"/>
    </row>
    <row r="946" spans="1:4" x14ac:dyDescent="0.2">
      <c r="A946" s="344">
        <v>43690</v>
      </c>
      <c r="B946" s="333">
        <v>232145.73</v>
      </c>
      <c r="C946" s="344"/>
      <c r="D946" s="333"/>
    </row>
    <row r="947" spans="1:4" x14ac:dyDescent="0.2">
      <c r="A947" s="344">
        <v>43691</v>
      </c>
      <c r="B947" s="333">
        <v>233325.32</v>
      </c>
      <c r="C947" s="344"/>
      <c r="D947" s="333"/>
    </row>
    <row r="948" spans="1:4" x14ac:dyDescent="0.2">
      <c r="A948" s="344">
        <v>43692</v>
      </c>
      <c r="B948" s="333">
        <v>225375.98</v>
      </c>
      <c r="C948" s="344"/>
      <c r="D948" s="333"/>
    </row>
    <row r="949" spans="1:4" x14ac:dyDescent="0.2">
      <c r="A949" s="344">
        <v>43693</v>
      </c>
      <c r="B949" s="333">
        <v>225424.1</v>
      </c>
      <c r="C949" s="344"/>
      <c r="D949" s="333"/>
    </row>
    <row r="950" spans="1:4" x14ac:dyDescent="0.2">
      <c r="A950" s="344">
        <v>43696</v>
      </c>
      <c r="B950" s="333">
        <v>187365.06</v>
      </c>
      <c r="C950" s="344"/>
      <c r="D950" s="333"/>
    </row>
    <row r="951" spans="1:4" x14ac:dyDescent="0.2">
      <c r="A951" s="344">
        <v>43697</v>
      </c>
      <c r="B951" s="333">
        <v>187365</v>
      </c>
      <c r="C951" s="344"/>
      <c r="D951" s="333"/>
    </row>
    <row r="952" spans="1:4" x14ac:dyDescent="0.2">
      <c r="A952" s="344">
        <v>43698</v>
      </c>
      <c r="B952" s="333">
        <v>187365</v>
      </c>
      <c r="C952" s="344"/>
      <c r="D952" s="333"/>
    </row>
    <row r="953" spans="1:4" x14ac:dyDescent="0.2">
      <c r="A953" s="344">
        <v>43699</v>
      </c>
      <c r="B953" s="370">
        <v>172667.6</v>
      </c>
      <c r="C953" s="344"/>
      <c r="D953" s="333"/>
    </row>
    <row r="954" spans="1:4" x14ac:dyDescent="0.2">
      <c r="A954" s="344">
        <v>43700</v>
      </c>
      <c r="B954" s="333">
        <v>172668</v>
      </c>
      <c r="C954" s="344"/>
      <c r="D954" s="333"/>
    </row>
    <row r="955" spans="1:4" x14ac:dyDescent="0.2">
      <c r="A955" s="344">
        <v>43703</v>
      </c>
      <c r="B955" s="333">
        <v>236616.35</v>
      </c>
      <c r="C955" s="344"/>
      <c r="D955" s="333"/>
    </row>
    <row r="956" spans="1:4" x14ac:dyDescent="0.2">
      <c r="A956" s="344">
        <v>43704</v>
      </c>
      <c r="B956" s="333">
        <v>237913.62</v>
      </c>
      <c r="C956" s="344"/>
      <c r="D956" s="333"/>
    </row>
    <row r="957" spans="1:4" x14ac:dyDescent="0.2">
      <c r="A957" s="344">
        <v>43705</v>
      </c>
      <c r="B957" s="333">
        <v>237914</v>
      </c>
      <c r="C957" s="344"/>
      <c r="D957" s="333"/>
    </row>
    <row r="958" spans="1:4" x14ac:dyDescent="0.2">
      <c r="A958" s="344">
        <v>43706</v>
      </c>
      <c r="B958" s="333">
        <v>244708.19</v>
      </c>
      <c r="C958" s="344"/>
      <c r="D958" s="333"/>
    </row>
    <row r="959" spans="1:4" x14ac:dyDescent="0.2">
      <c r="A959" s="344">
        <v>43707</v>
      </c>
      <c r="B959" s="333">
        <v>249899.19</v>
      </c>
      <c r="C959" s="344"/>
      <c r="D959" s="333"/>
    </row>
    <row r="960" spans="1:4" x14ac:dyDescent="0.2">
      <c r="A960" s="344">
        <v>43710</v>
      </c>
      <c r="B960" s="333">
        <v>249899</v>
      </c>
      <c r="C960" s="344"/>
      <c r="D960" s="333"/>
    </row>
    <row r="961" spans="1:4" x14ac:dyDescent="0.2">
      <c r="A961" s="344">
        <v>43711</v>
      </c>
      <c r="B961" s="333">
        <v>215930.73</v>
      </c>
      <c r="C961" s="344"/>
      <c r="D961" s="333"/>
    </row>
    <row r="962" spans="1:4" x14ac:dyDescent="0.2">
      <c r="A962" s="344">
        <v>43712</v>
      </c>
      <c r="B962" s="333">
        <v>215931</v>
      </c>
      <c r="C962" s="344"/>
      <c r="D962" s="333"/>
    </row>
    <row r="963" spans="1:4" x14ac:dyDescent="0.2">
      <c r="A963" s="344">
        <v>43713</v>
      </c>
      <c r="B963" s="333">
        <v>205664.34</v>
      </c>
      <c r="C963" s="344"/>
      <c r="D963" s="333"/>
    </row>
    <row r="964" spans="1:4" x14ac:dyDescent="0.2">
      <c r="A964" s="344">
        <v>43714</v>
      </c>
      <c r="B964" s="333">
        <v>205830.34</v>
      </c>
      <c r="C964" s="344"/>
      <c r="D964" s="333"/>
    </row>
    <row r="965" spans="1:4" x14ac:dyDescent="0.2">
      <c r="A965" s="344">
        <v>43717</v>
      </c>
      <c r="B965" s="333">
        <v>205830</v>
      </c>
      <c r="C965" s="344"/>
      <c r="D965" s="333"/>
    </row>
    <row r="966" spans="1:4" x14ac:dyDescent="0.2">
      <c r="A966" s="344">
        <v>43718</v>
      </c>
      <c r="B966" s="333">
        <v>205830</v>
      </c>
      <c r="C966" s="344"/>
      <c r="D966" s="333"/>
    </row>
    <row r="967" spans="1:4" x14ac:dyDescent="0.2">
      <c r="A967" s="344">
        <v>43719</v>
      </c>
      <c r="B967" s="333">
        <v>205830</v>
      </c>
      <c r="C967" s="344"/>
      <c r="D967" s="333"/>
    </row>
    <row r="968" spans="1:4" x14ac:dyDescent="0.2">
      <c r="A968" s="344">
        <v>43720</v>
      </c>
      <c r="B968" s="333">
        <v>207654.61</v>
      </c>
      <c r="C968" s="344"/>
      <c r="D968" s="333"/>
    </row>
    <row r="969" spans="1:4" x14ac:dyDescent="0.2">
      <c r="A969" s="344">
        <v>43721</v>
      </c>
      <c r="B969" s="333">
        <v>207743.24</v>
      </c>
      <c r="C969" s="344"/>
      <c r="D969" s="333"/>
    </row>
    <row r="970" spans="1:4" x14ac:dyDescent="0.2">
      <c r="A970" s="344">
        <v>43724</v>
      </c>
      <c r="B970" s="333">
        <v>207845.42</v>
      </c>
      <c r="C970" s="344"/>
      <c r="D970" s="333"/>
    </row>
    <row r="971" spans="1:4" x14ac:dyDescent="0.2">
      <c r="A971" s="344">
        <v>43725</v>
      </c>
      <c r="B971" s="333">
        <v>173840.8</v>
      </c>
      <c r="C971" s="344"/>
      <c r="D971" s="333"/>
    </row>
    <row r="972" spans="1:4" x14ac:dyDescent="0.2">
      <c r="A972" s="344">
        <v>43726</v>
      </c>
      <c r="B972" s="333">
        <v>212383.95</v>
      </c>
      <c r="C972" s="344"/>
      <c r="D972" s="333"/>
    </row>
    <row r="973" spans="1:4" x14ac:dyDescent="0.2">
      <c r="A973" s="344">
        <v>43727</v>
      </c>
      <c r="B973" s="333">
        <v>205191.98</v>
      </c>
      <c r="C973" s="344"/>
      <c r="D973" s="333"/>
    </row>
    <row r="974" spans="1:4" x14ac:dyDescent="0.2">
      <c r="A974" s="344">
        <v>43728</v>
      </c>
      <c r="B974" s="333">
        <v>205884.98</v>
      </c>
      <c r="C974" s="344"/>
      <c r="D974" s="333"/>
    </row>
    <row r="975" spans="1:4" x14ac:dyDescent="0.2">
      <c r="A975" s="344">
        <v>43731</v>
      </c>
      <c r="B975" s="333">
        <v>205884.98</v>
      </c>
      <c r="C975" s="344"/>
      <c r="D975" s="333"/>
    </row>
    <row r="976" spans="1:4" x14ac:dyDescent="0.2">
      <c r="A976" s="344">
        <v>43732</v>
      </c>
      <c r="B976" s="333">
        <v>205884.98</v>
      </c>
      <c r="C976" s="344"/>
      <c r="D976" s="333"/>
    </row>
    <row r="977" spans="1:4" x14ac:dyDescent="0.2">
      <c r="A977" s="344">
        <v>43733</v>
      </c>
      <c r="B977" s="333">
        <v>231641.34</v>
      </c>
      <c r="C977" s="344"/>
      <c r="D977" s="333"/>
    </row>
    <row r="978" spans="1:4" x14ac:dyDescent="0.2">
      <c r="A978" s="344">
        <v>43734</v>
      </c>
      <c r="B978" s="333">
        <v>236338.62</v>
      </c>
      <c r="C978" s="344"/>
      <c r="D978" s="333"/>
    </row>
    <row r="979" spans="1:4" x14ac:dyDescent="0.2">
      <c r="A979" s="344">
        <v>43735</v>
      </c>
      <c r="B979" s="333">
        <v>269514.5</v>
      </c>
      <c r="C979" s="344"/>
      <c r="D979" s="333"/>
    </row>
    <row r="980" spans="1:4" x14ac:dyDescent="0.2">
      <c r="A980" s="344">
        <v>43738</v>
      </c>
      <c r="B980" s="333">
        <v>287654.26</v>
      </c>
      <c r="C980" s="344"/>
      <c r="D980" s="333"/>
    </row>
    <row r="981" spans="1:4" x14ac:dyDescent="0.2">
      <c r="A981" s="344">
        <v>43739</v>
      </c>
      <c r="B981" s="333">
        <v>254047.41</v>
      </c>
      <c r="C981" s="344"/>
      <c r="D981" s="333"/>
    </row>
    <row r="982" spans="1:4" x14ac:dyDescent="0.2">
      <c r="A982" s="344">
        <v>43740</v>
      </c>
      <c r="B982" s="333">
        <v>254047</v>
      </c>
      <c r="C982" s="344"/>
      <c r="D982" s="333"/>
    </row>
    <row r="983" spans="1:4" x14ac:dyDescent="0.2">
      <c r="A983" s="344">
        <v>43741</v>
      </c>
      <c r="B983" s="333">
        <v>244596.04</v>
      </c>
      <c r="C983" s="344"/>
      <c r="D983" s="333"/>
    </row>
    <row r="984" spans="1:4" x14ac:dyDescent="0.2">
      <c r="A984" s="344">
        <v>43742</v>
      </c>
      <c r="B984" s="333">
        <v>244881.04</v>
      </c>
      <c r="C984" s="344"/>
      <c r="D984" s="333"/>
    </row>
    <row r="985" spans="1:4" x14ac:dyDescent="0.2">
      <c r="A985" s="344">
        <v>43745</v>
      </c>
      <c r="B985" s="333">
        <v>244881</v>
      </c>
      <c r="C985" s="344"/>
      <c r="D985" s="333"/>
    </row>
    <row r="986" spans="1:4" x14ac:dyDescent="0.2">
      <c r="A986" s="344">
        <v>43746</v>
      </c>
      <c r="B986" s="333">
        <v>244881</v>
      </c>
      <c r="C986" s="344"/>
      <c r="D986" s="333"/>
    </row>
    <row r="987" spans="1:4" x14ac:dyDescent="0.2">
      <c r="A987" s="344">
        <v>43747</v>
      </c>
      <c r="B987" s="333">
        <v>244881</v>
      </c>
      <c r="C987" s="344"/>
      <c r="D987" s="333"/>
    </row>
    <row r="988" spans="1:4" x14ac:dyDescent="0.2">
      <c r="A988" s="344">
        <v>43748</v>
      </c>
      <c r="B988" s="333">
        <v>247845.59</v>
      </c>
      <c r="C988" s="344"/>
      <c r="D988" s="333"/>
    </row>
    <row r="989" spans="1:4" x14ac:dyDescent="0.2">
      <c r="A989" s="344">
        <v>43749</v>
      </c>
      <c r="B989" s="333">
        <v>247846</v>
      </c>
      <c r="C989" s="344"/>
      <c r="D989" s="333"/>
    </row>
    <row r="990" spans="1:4" x14ac:dyDescent="0.2">
      <c r="A990" s="344">
        <v>43752</v>
      </c>
      <c r="B990" s="333">
        <v>247846</v>
      </c>
      <c r="C990" s="344"/>
      <c r="D990" s="333"/>
    </row>
    <row r="991" spans="1:4" x14ac:dyDescent="0.2">
      <c r="A991" s="344">
        <v>43753</v>
      </c>
      <c r="B991" s="333">
        <v>183161.53</v>
      </c>
      <c r="C991" s="344"/>
      <c r="D991" s="333"/>
    </row>
    <row r="992" spans="1:4" x14ac:dyDescent="0.2">
      <c r="A992" s="344">
        <v>43754</v>
      </c>
      <c r="B992" s="333">
        <v>185786.19</v>
      </c>
      <c r="C992" s="344"/>
      <c r="D992" s="333"/>
    </row>
    <row r="993" spans="1:4" x14ac:dyDescent="0.2">
      <c r="A993" s="344">
        <v>43755</v>
      </c>
      <c r="B993" s="333">
        <v>160581.73000000001</v>
      </c>
      <c r="C993" s="344"/>
      <c r="D993" s="333"/>
    </row>
    <row r="994" spans="1:4" x14ac:dyDescent="0.2">
      <c r="A994" s="344">
        <v>43756</v>
      </c>
      <c r="B994" s="333">
        <v>160581.73000000001</v>
      </c>
      <c r="C994" s="344"/>
      <c r="D994" s="333"/>
    </row>
    <row r="995" spans="1:4" x14ac:dyDescent="0.2">
      <c r="A995" s="344">
        <v>43759</v>
      </c>
      <c r="B995" s="333">
        <v>160581.73000000001</v>
      </c>
      <c r="C995" s="344"/>
      <c r="D995" s="333"/>
    </row>
    <row r="996" spans="1:4" x14ac:dyDescent="0.2">
      <c r="A996" s="344">
        <v>43760</v>
      </c>
      <c r="B996" s="333">
        <v>160581.73000000001</v>
      </c>
      <c r="C996" s="344"/>
      <c r="D996" s="333"/>
    </row>
    <row r="997" spans="1:4" x14ac:dyDescent="0.2">
      <c r="A997" s="344">
        <v>43761</v>
      </c>
      <c r="B997" s="333">
        <v>171996.42</v>
      </c>
      <c r="C997" s="344"/>
      <c r="D997" s="333"/>
    </row>
    <row r="998" spans="1:4" x14ac:dyDescent="0.2">
      <c r="A998" s="344">
        <v>43762</v>
      </c>
      <c r="B998" s="333">
        <v>167352.24</v>
      </c>
      <c r="C998" s="344"/>
      <c r="D998" s="333"/>
    </row>
    <row r="999" spans="1:4" x14ac:dyDescent="0.2">
      <c r="A999" s="344">
        <v>43763</v>
      </c>
      <c r="B999" s="333">
        <v>166766.24</v>
      </c>
      <c r="C999" s="344"/>
      <c r="D999" s="333"/>
    </row>
    <row r="1000" spans="1:4" x14ac:dyDescent="0.2">
      <c r="A1000" s="344">
        <v>43766</v>
      </c>
      <c r="B1000" s="370">
        <v>129051.26</v>
      </c>
      <c r="C1000" s="344"/>
      <c r="D1000" s="333"/>
    </row>
    <row r="1001" spans="1:4" x14ac:dyDescent="0.2">
      <c r="A1001" s="344">
        <v>43767</v>
      </c>
      <c r="B1001" s="333">
        <v>132306.64000000001</v>
      </c>
      <c r="C1001" s="344"/>
      <c r="D1001" s="333"/>
    </row>
    <row r="1002" spans="1:4" x14ac:dyDescent="0.2">
      <c r="A1002" s="344">
        <v>43768</v>
      </c>
      <c r="B1002" s="333">
        <v>181475.08</v>
      </c>
      <c r="C1002" s="344"/>
      <c r="D1002" s="333"/>
    </row>
    <row r="1003" spans="1:4" x14ac:dyDescent="0.2">
      <c r="A1003" s="344">
        <v>43769</v>
      </c>
      <c r="B1003" s="333">
        <v>169335.94</v>
      </c>
      <c r="C1003" s="344"/>
      <c r="D1003" s="333"/>
    </row>
    <row r="1004" spans="1:4" x14ac:dyDescent="0.2">
      <c r="A1004" s="344">
        <v>43770</v>
      </c>
      <c r="B1004" s="333">
        <v>171521.13</v>
      </c>
      <c r="C1004" s="344"/>
      <c r="D1004" s="333"/>
    </row>
    <row r="1005" spans="1:4" x14ac:dyDescent="0.2">
      <c r="A1005" s="344">
        <v>43773</v>
      </c>
      <c r="B1005" s="333">
        <v>171521</v>
      </c>
      <c r="C1005" s="344"/>
      <c r="D1005" s="333"/>
    </row>
    <row r="1006" spans="1:4" x14ac:dyDescent="0.2">
      <c r="A1006" s="344">
        <v>43774</v>
      </c>
      <c r="B1006" s="333">
        <v>171521</v>
      </c>
      <c r="C1006" s="344"/>
      <c r="D1006" s="333"/>
    </row>
    <row r="1007" spans="1:4" x14ac:dyDescent="0.2">
      <c r="A1007" s="344">
        <v>43775</v>
      </c>
      <c r="B1007" s="333">
        <v>201934.13</v>
      </c>
      <c r="C1007" s="344"/>
      <c r="D1007" s="333"/>
    </row>
    <row r="1008" spans="1:4" x14ac:dyDescent="0.2">
      <c r="A1008" s="344">
        <v>43776</v>
      </c>
      <c r="B1008" s="333">
        <v>198457.3</v>
      </c>
      <c r="C1008" s="344"/>
      <c r="D1008" s="333"/>
    </row>
    <row r="1009" spans="1:4" x14ac:dyDescent="0.2">
      <c r="A1009" s="344">
        <v>43777</v>
      </c>
      <c r="B1009" s="333">
        <v>198457</v>
      </c>
      <c r="C1009" s="344"/>
      <c r="D1009" s="333"/>
    </row>
    <row r="1010" spans="1:4" x14ac:dyDescent="0.2">
      <c r="A1010" s="344">
        <v>43780</v>
      </c>
      <c r="B1010" s="333">
        <v>164046.53</v>
      </c>
      <c r="C1010" s="344"/>
      <c r="D1010" s="333"/>
    </row>
    <row r="1011" spans="1:4" x14ac:dyDescent="0.2">
      <c r="A1011" s="344">
        <v>43781</v>
      </c>
      <c r="B1011" s="333">
        <v>164047</v>
      </c>
      <c r="C1011" s="344"/>
      <c r="D1011" s="333"/>
    </row>
    <row r="1012" spans="1:4" x14ac:dyDescent="0.2">
      <c r="A1012" s="344">
        <v>43782</v>
      </c>
      <c r="B1012" s="333">
        <v>198779.19</v>
      </c>
      <c r="C1012" s="344"/>
      <c r="D1012" s="333"/>
    </row>
    <row r="1013" spans="1:4" x14ac:dyDescent="0.2">
      <c r="A1013" s="344">
        <v>43783</v>
      </c>
      <c r="B1013" s="333">
        <v>188221.13</v>
      </c>
      <c r="C1013" s="344"/>
      <c r="D1013" s="333"/>
    </row>
    <row r="1014" spans="1:4" x14ac:dyDescent="0.2">
      <c r="A1014" s="344">
        <v>43784</v>
      </c>
      <c r="B1014" s="333">
        <v>190279.89</v>
      </c>
      <c r="C1014" s="344"/>
      <c r="D1014" s="333"/>
    </row>
    <row r="1015" spans="1:4" x14ac:dyDescent="0.2">
      <c r="A1015" s="344">
        <v>43787</v>
      </c>
      <c r="B1015" s="333">
        <v>190179.89</v>
      </c>
      <c r="C1015" s="344"/>
      <c r="D1015" s="333"/>
    </row>
    <row r="1016" spans="1:4" x14ac:dyDescent="0.2">
      <c r="A1016" s="344">
        <v>43788</v>
      </c>
      <c r="B1016" s="333">
        <v>190180</v>
      </c>
      <c r="C1016" s="344"/>
      <c r="D1016" s="333"/>
    </row>
    <row r="1017" spans="1:4" x14ac:dyDescent="0.2">
      <c r="A1017" s="344">
        <v>43789</v>
      </c>
      <c r="B1017" s="333">
        <v>190180</v>
      </c>
      <c r="C1017" s="344"/>
      <c r="D1017" s="333"/>
    </row>
    <row r="1018" spans="1:4" x14ac:dyDescent="0.2">
      <c r="A1018" s="344">
        <v>43790</v>
      </c>
      <c r="B1018" s="333">
        <v>188919.3</v>
      </c>
      <c r="C1018" s="344"/>
      <c r="D1018" s="333"/>
    </row>
    <row r="1019" spans="1:4" x14ac:dyDescent="0.2">
      <c r="A1019" s="344">
        <v>43791</v>
      </c>
      <c r="B1019" s="333">
        <v>188919</v>
      </c>
      <c r="C1019" s="344"/>
      <c r="D1019" s="333"/>
    </row>
    <row r="1020" spans="1:4" x14ac:dyDescent="0.2">
      <c r="A1020" s="344">
        <v>43794</v>
      </c>
      <c r="B1020" s="333">
        <v>153349.64000000001</v>
      </c>
      <c r="C1020" s="344"/>
      <c r="D1020" s="333"/>
    </row>
    <row r="1021" spans="1:4" x14ac:dyDescent="0.2">
      <c r="A1021" s="344">
        <v>43795</v>
      </c>
      <c r="B1021" s="333">
        <v>153226.64000000001</v>
      </c>
      <c r="C1021" s="344"/>
      <c r="D1021" s="333"/>
    </row>
    <row r="1022" spans="1:4" x14ac:dyDescent="0.2">
      <c r="A1022" s="344">
        <v>43796</v>
      </c>
      <c r="B1022" s="333">
        <v>154369.64000000001</v>
      </c>
      <c r="C1022" s="344"/>
      <c r="D1022" s="333"/>
    </row>
    <row r="1023" spans="1:4" x14ac:dyDescent="0.2">
      <c r="A1023" s="344">
        <v>43797</v>
      </c>
      <c r="B1023" s="333">
        <v>154370</v>
      </c>
      <c r="C1023" s="344"/>
      <c r="D1023" s="333"/>
    </row>
    <row r="1024" spans="1:4" x14ac:dyDescent="0.2">
      <c r="A1024" s="344">
        <v>43798</v>
      </c>
      <c r="B1024" s="333">
        <v>237011.17</v>
      </c>
      <c r="C1024" s="344"/>
      <c r="D1024" s="333"/>
    </row>
    <row r="1025" spans="1:4" x14ac:dyDescent="0.2">
      <c r="A1025" s="344">
        <v>43801</v>
      </c>
      <c r="B1025" s="333">
        <v>237011</v>
      </c>
      <c r="C1025" s="344"/>
      <c r="D1025" s="333"/>
    </row>
    <row r="1026" spans="1:4" x14ac:dyDescent="0.2">
      <c r="A1026" s="344">
        <v>43802</v>
      </c>
      <c r="B1026" s="333">
        <v>237011</v>
      </c>
      <c r="C1026" s="344"/>
      <c r="D1026" s="333"/>
    </row>
    <row r="1027" spans="1:4" x14ac:dyDescent="0.2">
      <c r="A1027" s="344">
        <v>43803</v>
      </c>
      <c r="B1027" s="333">
        <v>237011</v>
      </c>
      <c r="C1027" s="344"/>
      <c r="D1027" s="333"/>
    </row>
    <row r="1028" spans="1:4" x14ac:dyDescent="0.2">
      <c r="A1028" s="344">
        <v>43804</v>
      </c>
      <c r="B1028" s="333">
        <v>229967.75</v>
      </c>
      <c r="C1028" s="344"/>
      <c r="D1028" s="333"/>
    </row>
    <row r="1029" spans="1:4" x14ac:dyDescent="0.2">
      <c r="A1029" s="344">
        <v>43805</v>
      </c>
      <c r="B1029" s="333">
        <v>229968</v>
      </c>
      <c r="C1029" s="344"/>
      <c r="D1029" s="333"/>
    </row>
    <row r="1030" spans="1:4" x14ac:dyDescent="0.2">
      <c r="A1030" s="344">
        <v>43808</v>
      </c>
      <c r="B1030" s="333">
        <v>193352.99</v>
      </c>
      <c r="C1030" s="344"/>
      <c r="D1030" s="333"/>
    </row>
    <row r="1031" spans="1:4" x14ac:dyDescent="0.2">
      <c r="A1031" s="344">
        <v>43809</v>
      </c>
      <c r="B1031" s="333">
        <v>193629.99</v>
      </c>
      <c r="C1031" s="344"/>
      <c r="D1031" s="333"/>
    </row>
    <row r="1032" spans="1:4" x14ac:dyDescent="0.2">
      <c r="A1032" s="344">
        <v>43810</v>
      </c>
      <c r="B1032" s="333">
        <v>193630</v>
      </c>
      <c r="C1032" s="344"/>
      <c r="D1032" s="333"/>
    </row>
    <row r="1033" spans="1:4" x14ac:dyDescent="0.2">
      <c r="A1033" s="344">
        <v>43811</v>
      </c>
      <c r="B1033" s="333">
        <v>193945</v>
      </c>
      <c r="C1033" s="344"/>
      <c r="D1033" s="333"/>
    </row>
    <row r="1034" spans="1:4" x14ac:dyDescent="0.2">
      <c r="A1034" s="344">
        <v>43812</v>
      </c>
      <c r="B1034" s="333">
        <v>196370.92</v>
      </c>
      <c r="C1034" s="344"/>
      <c r="D1034" s="333"/>
    </row>
    <row r="1035" spans="1:4" x14ac:dyDescent="0.2">
      <c r="A1035" s="344">
        <v>43815</v>
      </c>
      <c r="B1035" s="333">
        <v>196370.92</v>
      </c>
      <c r="C1035" s="344"/>
      <c r="D1035" s="333"/>
    </row>
    <row r="1036" spans="1:4" x14ac:dyDescent="0.2">
      <c r="A1036" s="344">
        <v>43816</v>
      </c>
      <c r="B1036" s="333">
        <v>196370.92</v>
      </c>
      <c r="C1036" s="344"/>
      <c r="D1036" s="333"/>
    </row>
    <row r="1037" spans="1:4" x14ac:dyDescent="0.2">
      <c r="A1037" s="344">
        <v>43817</v>
      </c>
      <c r="B1037" s="333">
        <v>196370.92</v>
      </c>
      <c r="C1037" s="344"/>
      <c r="D1037" s="333"/>
    </row>
    <row r="1038" spans="1:4" x14ac:dyDescent="0.2">
      <c r="A1038" s="344">
        <v>43818</v>
      </c>
      <c r="B1038" s="333">
        <v>194997.56</v>
      </c>
      <c r="C1038" s="344"/>
      <c r="D1038" s="333"/>
    </row>
    <row r="1039" spans="1:4" x14ac:dyDescent="0.2">
      <c r="A1039" s="344">
        <v>43819</v>
      </c>
      <c r="B1039" s="333">
        <v>194998</v>
      </c>
      <c r="C1039" s="344"/>
      <c r="D1039" s="333"/>
    </row>
    <row r="1040" spans="1:4" x14ac:dyDescent="0.2">
      <c r="A1040" s="344">
        <v>43822</v>
      </c>
      <c r="B1040" s="333">
        <v>158280.26999999999</v>
      </c>
      <c r="C1040" s="344"/>
      <c r="D1040" s="333"/>
    </row>
    <row r="1041" spans="1:4" x14ac:dyDescent="0.2">
      <c r="A1041" s="344">
        <v>43823</v>
      </c>
      <c r="B1041" s="333">
        <v>163840.26999999999</v>
      </c>
      <c r="C1041" s="344"/>
      <c r="D1041" s="333"/>
    </row>
    <row r="1042" spans="1:4" x14ac:dyDescent="0.2">
      <c r="A1042" s="344">
        <v>43824</v>
      </c>
      <c r="B1042" s="333">
        <v>163840</v>
      </c>
      <c r="C1042" s="344"/>
      <c r="D1042" s="333"/>
    </row>
    <row r="1043" spans="1:4" x14ac:dyDescent="0.2">
      <c r="A1043" s="344">
        <v>43825</v>
      </c>
      <c r="B1043" s="333">
        <v>213174.46</v>
      </c>
      <c r="C1043" s="344"/>
      <c r="D1043" s="333"/>
    </row>
    <row r="1044" spans="1:4" x14ac:dyDescent="0.2">
      <c r="A1044" s="344">
        <v>43826</v>
      </c>
      <c r="B1044" s="333">
        <v>212851.46</v>
      </c>
      <c r="C1044" s="344"/>
      <c r="D1044" s="333"/>
    </row>
    <row r="1045" spans="1:4" x14ac:dyDescent="0.2">
      <c r="A1045" s="344">
        <v>43829</v>
      </c>
      <c r="B1045" s="333">
        <v>212221.74</v>
      </c>
      <c r="C1045" s="344"/>
      <c r="D1045" s="333"/>
    </row>
    <row r="1046" spans="1:4" x14ac:dyDescent="0.2">
      <c r="A1046" s="344">
        <v>43830</v>
      </c>
      <c r="B1046" s="333">
        <v>189055.83</v>
      </c>
      <c r="C1046" s="344"/>
      <c r="D1046" s="333"/>
    </row>
    <row r="1047" spans="1:4" ht="15" x14ac:dyDescent="0.25">
      <c r="A1047" s="482">
        <v>43831</v>
      </c>
      <c r="B1047" s="333">
        <v>189056</v>
      </c>
      <c r="C1047" s="344"/>
      <c r="D1047" s="333"/>
    </row>
    <row r="1048" spans="1:4" ht="15" x14ac:dyDescent="0.25">
      <c r="A1048" s="482">
        <v>43832</v>
      </c>
      <c r="B1048" s="333">
        <v>206403.28</v>
      </c>
      <c r="C1048" s="344"/>
      <c r="D1048" s="333"/>
    </row>
    <row r="1049" spans="1:4" ht="15" x14ac:dyDescent="0.25">
      <c r="A1049" s="482">
        <v>43833</v>
      </c>
      <c r="B1049" s="333">
        <v>206217.28</v>
      </c>
      <c r="C1049" s="344"/>
      <c r="D1049" s="333"/>
    </row>
    <row r="1050" spans="1:4" ht="15" x14ac:dyDescent="0.25">
      <c r="A1050" s="482">
        <v>43836</v>
      </c>
      <c r="B1050" s="333">
        <v>206129.28</v>
      </c>
      <c r="C1050" s="344"/>
      <c r="D1050" s="333"/>
    </row>
    <row r="1051" spans="1:4" ht="15" x14ac:dyDescent="0.25">
      <c r="A1051" s="482">
        <v>43837</v>
      </c>
      <c r="B1051" s="333">
        <v>172858.39</v>
      </c>
      <c r="C1051" s="344"/>
      <c r="D1051" s="333"/>
    </row>
    <row r="1052" spans="1:4" ht="15" x14ac:dyDescent="0.25">
      <c r="A1052" s="482">
        <v>43838</v>
      </c>
      <c r="B1052" s="333">
        <v>172585</v>
      </c>
      <c r="C1052" s="344"/>
      <c r="D1052" s="333"/>
    </row>
    <row r="1053" spans="1:4" ht="15" x14ac:dyDescent="0.25">
      <c r="A1053" s="482">
        <v>43839</v>
      </c>
      <c r="B1053" s="333">
        <v>184752.38</v>
      </c>
      <c r="C1053" s="344"/>
      <c r="D1053" s="333"/>
    </row>
    <row r="1054" spans="1:4" ht="15" x14ac:dyDescent="0.25">
      <c r="A1054" s="482">
        <v>43840</v>
      </c>
      <c r="B1054" s="333">
        <v>199849.93</v>
      </c>
      <c r="C1054" s="344"/>
      <c r="D1054" s="333"/>
    </row>
    <row r="1055" spans="1:4" ht="15" x14ac:dyDescent="0.25">
      <c r="A1055" s="482">
        <v>43843</v>
      </c>
      <c r="B1055" s="333">
        <v>199850</v>
      </c>
      <c r="C1055" s="344"/>
      <c r="D1055" s="333"/>
    </row>
    <row r="1056" spans="1:4" ht="15" x14ac:dyDescent="0.25">
      <c r="A1056" s="482">
        <v>43844</v>
      </c>
      <c r="B1056" s="333">
        <v>199850</v>
      </c>
      <c r="C1056" s="344"/>
      <c r="D1056" s="333"/>
    </row>
    <row r="1057" spans="1:4" ht="15" x14ac:dyDescent="0.25">
      <c r="A1057" s="482">
        <v>43845</v>
      </c>
      <c r="B1057" s="333">
        <v>199942.09</v>
      </c>
      <c r="C1057" s="344"/>
      <c r="D1057" s="333"/>
    </row>
    <row r="1058" spans="1:4" ht="15" x14ac:dyDescent="0.25">
      <c r="A1058" s="482">
        <v>43846</v>
      </c>
      <c r="B1058" s="333">
        <v>197586.14</v>
      </c>
      <c r="C1058" s="344"/>
      <c r="D1058" s="333"/>
    </row>
    <row r="1059" spans="1:4" ht="15" x14ac:dyDescent="0.25">
      <c r="A1059" s="482">
        <v>43847</v>
      </c>
      <c r="B1059" s="333">
        <v>197586</v>
      </c>
      <c r="C1059" s="344"/>
      <c r="D1059" s="333"/>
    </row>
    <row r="1060" spans="1:4" ht="15" x14ac:dyDescent="0.25">
      <c r="A1060" s="482">
        <v>43850</v>
      </c>
      <c r="B1060" s="333">
        <v>197586</v>
      </c>
      <c r="C1060" s="344"/>
      <c r="D1060" s="333"/>
    </row>
    <row r="1061" spans="1:4" ht="15" x14ac:dyDescent="0.25">
      <c r="A1061" s="482">
        <v>43851</v>
      </c>
      <c r="B1061" s="333">
        <v>160213.23000000001</v>
      </c>
      <c r="C1061" s="344"/>
      <c r="D1061" s="333"/>
    </row>
    <row r="1062" spans="1:4" ht="15" x14ac:dyDescent="0.25">
      <c r="A1062" s="482">
        <v>43852</v>
      </c>
      <c r="B1062" s="333">
        <v>160213</v>
      </c>
      <c r="C1062" s="344"/>
      <c r="D1062" s="333"/>
    </row>
    <row r="1063" spans="1:4" ht="15" x14ac:dyDescent="0.25">
      <c r="A1063" s="482">
        <v>43853</v>
      </c>
      <c r="B1063" s="333">
        <v>178835.97</v>
      </c>
      <c r="C1063" s="344"/>
      <c r="D1063" s="333"/>
    </row>
    <row r="1064" spans="1:4" ht="15" x14ac:dyDescent="0.25">
      <c r="A1064" s="482">
        <v>43854</v>
      </c>
      <c r="B1064" s="333">
        <v>177774.06</v>
      </c>
      <c r="C1064" s="344"/>
      <c r="D1064" s="333"/>
    </row>
    <row r="1065" spans="1:4" ht="15" x14ac:dyDescent="0.25">
      <c r="A1065" s="482">
        <v>43857</v>
      </c>
      <c r="B1065" s="333">
        <v>177774</v>
      </c>
      <c r="C1065" s="344"/>
      <c r="D1065" s="333"/>
    </row>
    <row r="1066" spans="1:4" ht="15" x14ac:dyDescent="0.25">
      <c r="A1066" s="482">
        <v>43858</v>
      </c>
      <c r="B1066" s="333">
        <v>177774</v>
      </c>
      <c r="C1066" s="344"/>
      <c r="D1066" s="333"/>
    </row>
    <row r="1067" spans="1:4" ht="15" x14ac:dyDescent="0.25">
      <c r="A1067" s="482">
        <v>43859</v>
      </c>
      <c r="B1067" s="333">
        <v>253459.84</v>
      </c>
      <c r="C1067" s="344"/>
      <c r="D1067" s="333"/>
    </row>
    <row r="1068" spans="1:4" ht="15" x14ac:dyDescent="0.25">
      <c r="A1068" s="482">
        <v>43860</v>
      </c>
      <c r="B1068" s="333">
        <v>235320.22</v>
      </c>
      <c r="C1068" s="344"/>
      <c r="D1068" s="333"/>
    </row>
    <row r="1069" spans="1:4" ht="15" x14ac:dyDescent="0.25">
      <c r="A1069" s="482">
        <v>43861</v>
      </c>
      <c r="B1069" s="333">
        <v>235320</v>
      </c>
      <c r="C1069" s="344"/>
      <c r="D1069" s="333"/>
    </row>
    <row r="1070" spans="1:4" ht="15" x14ac:dyDescent="0.25">
      <c r="A1070" s="482">
        <v>43864</v>
      </c>
      <c r="B1070" s="333">
        <v>198483.96</v>
      </c>
      <c r="C1070" s="344"/>
      <c r="D1070" s="333"/>
    </row>
    <row r="1071" spans="1:4" ht="15" x14ac:dyDescent="0.25">
      <c r="A1071" s="482">
        <v>43865</v>
      </c>
      <c r="B1071" s="333">
        <v>212819.68</v>
      </c>
      <c r="C1071" s="344"/>
      <c r="D1071" s="333"/>
    </row>
    <row r="1072" spans="1:4" ht="15" x14ac:dyDescent="0.25">
      <c r="A1072" s="482">
        <v>43866</v>
      </c>
      <c r="B1072" s="333">
        <v>212820</v>
      </c>
      <c r="C1072" s="344"/>
      <c r="D1072" s="333"/>
    </row>
    <row r="1073" spans="1:4" ht="15" x14ac:dyDescent="0.25">
      <c r="A1073" s="482">
        <v>43867</v>
      </c>
      <c r="B1073" s="333">
        <v>212584.24</v>
      </c>
      <c r="C1073" s="344"/>
      <c r="D1073" s="333"/>
    </row>
    <row r="1074" spans="1:4" ht="15" x14ac:dyDescent="0.25">
      <c r="A1074" s="482">
        <v>43868</v>
      </c>
      <c r="B1074" s="333">
        <v>270092.23</v>
      </c>
      <c r="C1074" s="344"/>
      <c r="D1074" s="333"/>
    </row>
    <row r="1075" spans="1:4" ht="15" x14ac:dyDescent="0.25">
      <c r="A1075" s="482">
        <v>43871</v>
      </c>
      <c r="B1075" s="333">
        <v>270092</v>
      </c>
      <c r="C1075" s="344"/>
      <c r="D1075" s="333"/>
    </row>
    <row r="1076" spans="1:4" ht="15" x14ac:dyDescent="0.25">
      <c r="A1076" s="482">
        <v>43872</v>
      </c>
      <c r="B1076" s="333">
        <v>273133.13</v>
      </c>
      <c r="C1076" s="344"/>
      <c r="D1076" s="333"/>
    </row>
    <row r="1077" spans="1:4" ht="15" x14ac:dyDescent="0.25">
      <c r="A1077" s="482">
        <v>43873</v>
      </c>
      <c r="B1077" s="333">
        <v>273133</v>
      </c>
      <c r="C1077" s="344"/>
      <c r="D1077" s="333"/>
    </row>
    <row r="1078" spans="1:4" ht="15" x14ac:dyDescent="0.25">
      <c r="A1078" s="482">
        <v>43874</v>
      </c>
      <c r="B1078" s="333">
        <v>280484.09000000003</v>
      </c>
      <c r="C1078" s="344"/>
      <c r="D1078" s="333"/>
    </row>
    <row r="1079" spans="1:4" ht="15" x14ac:dyDescent="0.25">
      <c r="A1079" s="482">
        <v>43875</v>
      </c>
      <c r="B1079" s="333">
        <v>279225.67</v>
      </c>
      <c r="C1079" s="344"/>
      <c r="D1079" s="333"/>
    </row>
    <row r="1080" spans="1:4" ht="15" x14ac:dyDescent="0.25">
      <c r="A1080" s="482">
        <v>43878</v>
      </c>
      <c r="B1080" s="333">
        <v>279226</v>
      </c>
      <c r="C1080" s="344"/>
      <c r="D1080" s="333"/>
    </row>
    <row r="1081" spans="1:4" ht="15" x14ac:dyDescent="0.25">
      <c r="A1081" s="482">
        <v>43879</v>
      </c>
      <c r="B1081" s="333">
        <v>241740.68</v>
      </c>
      <c r="C1081" s="344"/>
      <c r="D1081" s="333"/>
    </row>
    <row r="1082" spans="1:4" ht="15" x14ac:dyDescent="0.25">
      <c r="A1082" s="482">
        <v>43880</v>
      </c>
      <c r="B1082" s="333">
        <v>268478</v>
      </c>
      <c r="C1082" s="344"/>
      <c r="D1082" s="333"/>
    </row>
    <row r="1083" spans="1:4" ht="15" x14ac:dyDescent="0.25">
      <c r="A1083" s="482">
        <v>43881</v>
      </c>
      <c r="B1083" s="333">
        <v>258524.93</v>
      </c>
      <c r="C1083" s="344"/>
      <c r="D1083" s="333"/>
    </row>
    <row r="1084" spans="1:4" ht="15" x14ac:dyDescent="0.25">
      <c r="A1084" s="482">
        <v>43882</v>
      </c>
      <c r="B1084" s="333">
        <v>277316.53000000003</v>
      </c>
      <c r="C1084" s="344"/>
      <c r="D1084" s="333"/>
    </row>
    <row r="1085" spans="1:4" ht="15" x14ac:dyDescent="0.25">
      <c r="A1085" s="482">
        <v>43885</v>
      </c>
      <c r="B1085" s="333">
        <v>277317</v>
      </c>
      <c r="C1085" s="344"/>
      <c r="D1085" s="333"/>
    </row>
    <row r="1086" spans="1:4" ht="15" x14ac:dyDescent="0.25">
      <c r="A1086" s="482">
        <v>43886</v>
      </c>
      <c r="B1086" s="333">
        <v>279881.78999999998</v>
      </c>
      <c r="C1086" s="344"/>
      <c r="D1086" s="333"/>
    </row>
    <row r="1087" spans="1:4" ht="15" x14ac:dyDescent="0.25">
      <c r="A1087" s="482">
        <v>43887</v>
      </c>
      <c r="B1087" s="333">
        <v>279882</v>
      </c>
      <c r="C1087" s="344"/>
      <c r="D1087" s="333"/>
    </row>
    <row r="1088" spans="1:4" ht="15" x14ac:dyDescent="0.25">
      <c r="A1088" s="482">
        <v>43888</v>
      </c>
      <c r="B1088" s="333">
        <v>270773.33</v>
      </c>
      <c r="C1088" s="344"/>
      <c r="D1088" s="333"/>
    </row>
    <row r="1089" spans="1:4" ht="15" x14ac:dyDescent="0.25">
      <c r="A1089" s="482">
        <v>43889</v>
      </c>
      <c r="B1089" s="333">
        <v>306133.57</v>
      </c>
      <c r="C1089" s="344"/>
      <c r="D1089" s="333"/>
    </row>
    <row r="1090" spans="1:4" ht="15" x14ac:dyDescent="0.25">
      <c r="A1090" s="482">
        <v>43892</v>
      </c>
      <c r="B1090" s="333">
        <v>267343.68</v>
      </c>
      <c r="C1090" s="344"/>
      <c r="D1090" s="333"/>
    </row>
    <row r="1091" spans="1:4" ht="15" x14ac:dyDescent="0.25">
      <c r="A1091" s="482">
        <v>43893</v>
      </c>
      <c r="B1091" s="333">
        <v>267157.68</v>
      </c>
      <c r="C1091" s="344"/>
      <c r="D1091" s="333"/>
    </row>
    <row r="1092" spans="1:4" ht="15" x14ac:dyDescent="0.25">
      <c r="A1092" s="482">
        <v>43894</v>
      </c>
      <c r="B1092" s="333">
        <v>267157.68</v>
      </c>
      <c r="C1092" s="344"/>
      <c r="D1092" s="333"/>
    </row>
    <row r="1093" spans="1:4" ht="15" x14ac:dyDescent="0.25">
      <c r="A1093" s="482">
        <v>43895</v>
      </c>
      <c r="B1093" s="333">
        <v>264690.95</v>
      </c>
      <c r="C1093" s="344"/>
      <c r="D1093" s="333"/>
    </row>
    <row r="1094" spans="1:4" ht="15" x14ac:dyDescent="0.25">
      <c r="A1094" s="482">
        <v>43896</v>
      </c>
      <c r="B1094" s="333">
        <v>264495.03999999998</v>
      </c>
      <c r="C1094" s="344"/>
      <c r="D1094" s="333"/>
    </row>
    <row r="1095" spans="1:4" ht="15" x14ac:dyDescent="0.25">
      <c r="A1095" s="482">
        <v>43899</v>
      </c>
      <c r="B1095" s="333">
        <v>264495.03999999998</v>
      </c>
      <c r="C1095" s="344"/>
      <c r="D1095" s="333"/>
    </row>
    <row r="1096" spans="1:4" ht="15" x14ac:dyDescent="0.25">
      <c r="A1096" s="482">
        <v>43900</v>
      </c>
      <c r="B1096" s="333">
        <v>267283.63</v>
      </c>
      <c r="C1096" s="344"/>
      <c r="D1096" s="333"/>
    </row>
    <row r="1097" spans="1:4" ht="15" x14ac:dyDescent="0.25">
      <c r="A1097" s="482">
        <v>43901</v>
      </c>
      <c r="B1097" s="333">
        <v>267283.63</v>
      </c>
      <c r="C1097" s="344"/>
      <c r="D1097" s="333"/>
    </row>
    <row r="1098" spans="1:4" ht="15" x14ac:dyDescent="0.25">
      <c r="A1098" s="482">
        <v>43902</v>
      </c>
      <c r="B1098" s="333">
        <v>259537.69</v>
      </c>
      <c r="C1098" s="344"/>
      <c r="D1098" s="333"/>
    </row>
    <row r="1099" spans="1:4" ht="15" x14ac:dyDescent="0.25">
      <c r="A1099" s="482">
        <v>43903</v>
      </c>
      <c r="B1099" s="333">
        <v>259645.65</v>
      </c>
      <c r="C1099" s="344"/>
      <c r="D1099" s="333"/>
    </row>
    <row r="1100" spans="1:4" ht="15" x14ac:dyDescent="0.25">
      <c r="A1100" s="482">
        <v>43906</v>
      </c>
      <c r="B1100" s="333">
        <v>279221.03000000003</v>
      </c>
      <c r="C1100" s="344"/>
      <c r="D1100" s="333"/>
    </row>
    <row r="1101" spans="1:4" ht="15" x14ac:dyDescent="0.25">
      <c r="A1101" s="482">
        <v>43907</v>
      </c>
      <c r="B1101" s="333">
        <v>232150.36</v>
      </c>
      <c r="C1101" s="344"/>
      <c r="D1101" s="333"/>
    </row>
    <row r="1102" spans="1:4" ht="15" x14ac:dyDescent="0.25">
      <c r="A1102" s="482">
        <v>43908</v>
      </c>
      <c r="B1102" s="333">
        <v>274274.51</v>
      </c>
      <c r="C1102" s="344"/>
      <c r="D1102" s="333"/>
    </row>
    <row r="1103" spans="1:4" ht="15" x14ac:dyDescent="0.25">
      <c r="A1103" s="482">
        <v>43909</v>
      </c>
      <c r="B1103" s="333">
        <v>276629.48</v>
      </c>
      <c r="C1103" s="344"/>
      <c r="D1103" s="333"/>
    </row>
    <row r="1104" spans="1:4" ht="15" x14ac:dyDescent="0.25">
      <c r="A1104" s="482">
        <v>43910</v>
      </c>
      <c r="B1104" s="333">
        <v>276629.48</v>
      </c>
      <c r="C1104" s="344"/>
      <c r="D1104" s="333"/>
    </row>
    <row r="1105" spans="1:4" ht="15" x14ac:dyDescent="0.25">
      <c r="A1105" s="482">
        <v>43913</v>
      </c>
      <c r="B1105" s="333">
        <v>292626.55</v>
      </c>
      <c r="C1105" s="344"/>
      <c r="D1105" s="333"/>
    </row>
    <row r="1106" spans="1:4" ht="15" x14ac:dyDescent="0.25">
      <c r="A1106" s="482">
        <v>43914</v>
      </c>
      <c r="B1106" s="333">
        <v>292626.55</v>
      </c>
      <c r="C1106" s="344"/>
      <c r="D1106" s="333"/>
    </row>
    <row r="1107" spans="1:4" ht="15" x14ac:dyDescent="0.25">
      <c r="A1107" s="482">
        <v>43915</v>
      </c>
      <c r="B1107" s="333">
        <v>292626.55</v>
      </c>
      <c r="C1107" s="344"/>
      <c r="D1107" s="333"/>
    </row>
    <row r="1108" spans="1:4" ht="15" x14ac:dyDescent="0.25">
      <c r="A1108" s="482">
        <v>43916</v>
      </c>
      <c r="B1108" s="333">
        <v>292626.55</v>
      </c>
      <c r="C1108" s="344"/>
      <c r="D1108" s="333"/>
    </row>
    <row r="1109" spans="1:4" ht="15" x14ac:dyDescent="0.25">
      <c r="A1109" s="482">
        <v>43917</v>
      </c>
      <c r="B1109" s="333">
        <v>292582.55</v>
      </c>
      <c r="C1109" s="344"/>
      <c r="D1109" s="333"/>
    </row>
    <row r="1110" spans="1:4" ht="15" x14ac:dyDescent="0.25">
      <c r="A1110" s="482">
        <v>43920</v>
      </c>
      <c r="B1110" s="333">
        <v>292582.55</v>
      </c>
      <c r="C1110" s="344"/>
      <c r="D1110" s="333"/>
    </row>
    <row r="1111" spans="1:4" ht="15" x14ac:dyDescent="0.25">
      <c r="A1111" s="482">
        <v>43921</v>
      </c>
      <c r="B1111" s="333">
        <v>292582.55</v>
      </c>
      <c r="C1111" s="344"/>
      <c r="D1111" s="333"/>
    </row>
    <row r="1112" spans="1:4" ht="15" x14ac:dyDescent="0.25">
      <c r="A1112" s="482">
        <v>43922</v>
      </c>
      <c r="B1112" s="333">
        <v>256343.91</v>
      </c>
      <c r="C1112" s="344"/>
      <c r="D1112" s="333"/>
    </row>
    <row r="1113" spans="1:4" ht="15" x14ac:dyDescent="0.25">
      <c r="A1113" s="482">
        <v>43923</v>
      </c>
      <c r="B1113" s="333">
        <v>260066.55</v>
      </c>
      <c r="C1113" s="344"/>
      <c r="D1113" s="333"/>
    </row>
    <row r="1114" spans="1:4" ht="15" x14ac:dyDescent="0.25">
      <c r="A1114" s="482">
        <v>43924</v>
      </c>
      <c r="B1114" s="333">
        <v>259418.64</v>
      </c>
      <c r="C1114" s="344"/>
      <c r="D1114" s="333"/>
    </row>
    <row r="1115" spans="1:4" ht="15" x14ac:dyDescent="0.25">
      <c r="A1115" s="482">
        <v>43927</v>
      </c>
      <c r="B1115" s="333">
        <v>259418.64</v>
      </c>
      <c r="C1115" s="344"/>
      <c r="D1115" s="333"/>
    </row>
    <row r="1116" spans="1:4" ht="15" x14ac:dyDescent="0.25">
      <c r="A1116" s="482">
        <v>43928</v>
      </c>
      <c r="B1116" s="333">
        <v>259418.64</v>
      </c>
      <c r="C1116" s="344"/>
      <c r="D1116" s="333"/>
    </row>
    <row r="1117" spans="1:4" ht="15" x14ac:dyDescent="0.25">
      <c r="A1117" s="482">
        <v>43929</v>
      </c>
      <c r="B1117" s="333">
        <v>259418.64</v>
      </c>
      <c r="C1117" s="344"/>
      <c r="D1117" s="333"/>
    </row>
    <row r="1118" spans="1:4" ht="15" x14ac:dyDescent="0.25">
      <c r="A1118" s="482">
        <v>43930</v>
      </c>
      <c r="B1118" s="333">
        <v>256056.32000000001</v>
      </c>
      <c r="C1118" s="344"/>
      <c r="D1118" s="333"/>
    </row>
    <row r="1119" spans="1:4" ht="15" x14ac:dyDescent="0.25">
      <c r="A1119" s="482">
        <v>43931</v>
      </c>
      <c r="B1119" s="333">
        <v>256056.32000000001</v>
      </c>
      <c r="C1119" s="344"/>
      <c r="D1119" s="333"/>
    </row>
    <row r="1120" spans="1:4" ht="15" x14ac:dyDescent="0.25">
      <c r="A1120" s="482">
        <v>43934</v>
      </c>
      <c r="B1120" s="333">
        <v>256056.32000000001</v>
      </c>
      <c r="C1120" s="344"/>
      <c r="D1120" s="333"/>
    </row>
    <row r="1121" spans="1:4" ht="15" x14ac:dyDescent="0.25">
      <c r="A1121" s="482">
        <v>43935</v>
      </c>
      <c r="B1121" s="333">
        <v>256056.32000000001</v>
      </c>
      <c r="C1121" s="344"/>
      <c r="D1121" s="333"/>
    </row>
    <row r="1122" spans="1:4" ht="15" x14ac:dyDescent="0.25">
      <c r="A1122" s="482">
        <v>43936</v>
      </c>
      <c r="B1122" s="333">
        <v>222877.12</v>
      </c>
      <c r="C1122" s="344"/>
      <c r="D1122" s="333"/>
    </row>
    <row r="1123" spans="1:4" ht="15" x14ac:dyDescent="0.25">
      <c r="A1123" s="482">
        <v>43937</v>
      </c>
      <c r="B1123" s="333">
        <v>222877.12</v>
      </c>
      <c r="C1123" s="344"/>
      <c r="D1123" s="333"/>
    </row>
    <row r="1124" spans="1:4" ht="15" x14ac:dyDescent="0.25">
      <c r="A1124" s="482">
        <v>43938</v>
      </c>
      <c r="B1124" s="333">
        <v>222415.21</v>
      </c>
      <c r="C1124" s="344"/>
      <c r="D1124" s="333"/>
    </row>
    <row r="1125" spans="1:4" ht="15" x14ac:dyDescent="0.25">
      <c r="A1125" s="482">
        <v>43941</v>
      </c>
      <c r="B1125" s="333">
        <v>222415.21</v>
      </c>
      <c r="C1125" s="344"/>
      <c r="D1125" s="333"/>
    </row>
    <row r="1126" spans="1:4" ht="15" x14ac:dyDescent="0.25">
      <c r="A1126" s="482">
        <v>43942</v>
      </c>
      <c r="B1126" s="333">
        <v>222415.21</v>
      </c>
      <c r="C1126" s="344"/>
      <c r="D1126" s="333"/>
    </row>
    <row r="1127" spans="1:4" ht="15" x14ac:dyDescent="0.25">
      <c r="A1127" s="482">
        <v>43943</v>
      </c>
      <c r="B1127" s="333">
        <v>222415.21</v>
      </c>
      <c r="C1127" s="344"/>
      <c r="D1127" s="333"/>
    </row>
    <row r="1128" spans="1:4" ht="15" x14ac:dyDescent="0.25">
      <c r="A1128" s="482">
        <v>43944</v>
      </c>
      <c r="B1128" s="333">
        <v>185658.71</v>
      </c>
      <c r="C1128" s="344"/>
      <c r="D1128" s="333"/>
    </row>
    <row r="1129" spans="1:4" ht="15" x14ac:dyDescent="0.25">
      <c r="A1129" s="482">
        <v>43945</v>
      </c>
      <c r="B1129" s="333">
        <v>185658.71</v>
      </c>
      <c r="C1129" s="344"/>
      <c r="D1129" s="333"/>
    </row>
    <row r="1130" spans="1:4" ht="15" x14ac:dyDescent="0.25">
      <c r="A1130" s="482">
        <v>43948</v>
      </c>
      <c r="B1130" s="333">
        <v>185614.71</v>
      </c>
      <c r="C1130" s="344"/>
      <c r="D1130" s="333"/>
    </row>
    <row r="1131" spans="1:4" ht="15" x14ac:dyDescent="0.25">
      <c r="A1131" s="482">
        <v>43949</v>
      </c>
      <c r="B1131" s="370">
        <v>152434.01999999999</v>
      </c>
      <c r="C1131" s="344"/>
      <c r="D1131" s="370"/>
    </row>
    <row r="1132" spans="1:4" ht="15" x14ac:dyDescent="0.25">
      <c r="A1132" s="482">
        <v>43950</v>
      </c>
      <c r="B1132" s="333">
        <v>152434.01999999999</v>
      </c>
      <c r="C1132" s="344"/>
      <c r="D1132" s="333"/>
    </row>
    <row r="1133" spans="1:4" ht="15" x14ac:dyDescent="0.25">
      <c r="A1133" s="482">
        <v>43951</v>
      </c>
      <c r="B1133" s="333">
        <v>173230.55</v>
      </c>
      <c r="C1133" s="344"/>
      <c r="D1133" s="333"/>
    </row>
    <row r="1134" spans="1:4" ht="15" x14ac:dyDescent="0.25">
      <c r="A1134" s="482">
        <v>43952</v>
      </c>
      <c r="B1134" s="333">
        <f>C1134+D1134</f>
        <v>173492.71000000002</v>
      </c>
      <c r="C1134" s="485">
        <v>172768.64000000001</v>
      </c>
      <c r="D1134" s="486">
        <v>724.07</v>
      </c>
    </row>
    <row r="1135" spans="1:4" ht="15" x14ac:dyDescent="0.25">
      <c r="A1135" s="482">
        <v>43955</v>
      </c>
      <c r="B1135" s="333">
        <f t="shared" ref="B1135:B1198" si="5">C1135+D1135</f>
        <v>173306.64</v>
      </c>
      <c r="C1135" s="485">
        <v>172582.64</v>
      </c>
      <c r="D1135" s="486">
        <v>724</v>
      </c>
    </row>
    <row r="1136" spans="1:4" ht="15" x14ac:dyDescent="0.25">
      <c r="A1136" s="482">
        <v>43956</v>
      </c>
      <c r="B1136" s="333">
        <f t="shared" si="5"/>
        <v>173307</v>
      </c>
      <c r="C1136" s="485">
        <v>172583</v>
      </c>
      <c r="D1136" s="486">
        <f>D1135</f>
        <v>724</v>
      </c>
    </row>
    <row r="1137" spans="1:4" ht="15" x14ac:dyDescent="0.25">
      <c r="A1137" s="482">
        <v>43957</v>
      </c>
      <c r="B1137" s="333">
        <f t="shared" si="5"/>
        <v>173307</v>
      </c>
      <c r="C1137" s="485">
        <v>172583</v>
      </c>
      <c r="D1137" s="486">
        <f t="shared" ref="D1137:D1179" si="6">D1136</f>
        <v>724</v>
      </c>
    </row>
    <row r="1138" spans="1:4" ht="15" x14ac:dyDescent="0.25">
      <c r="A1138" s="482">
        <v>43958</v>
      </c>
      <c r="B1138" s="333">
        <f t="shared" si="5"/>
        <v>173307</v>
      </c>
      <c r="C1138" s="485">
        <v>172583</v>
      </c>
      <c r="D1138" s="486">
        <f t="shared" si="6"/>
        <v>724</v>
      </c>
    </row>
    <row r="1139" spans="1:4" ht="15" x14ac:dyDescent="0.25">
      <c r="A1139" s="482">
        <v>43959</v>
      </c>
      <c r="B1139" s="333">
        <f t="shared" si="5"/>
        <v>385709.68000000005</v>
      </c>
      <c r="C1139" s="485">
        <v>187582.64</v>
      </c>
      <c r="D1139" s="486">
        <v>198127.04</v>
      </c>
    </row>
    <row r="1140" spans="1:4" ht="15" x14ac:dyDescent="0.25">
      <c r="A1140" s="482">
        <v>43962</v>
      </c>
      <c r="B1140" s="333">
        <f t="shared" si="5"/>
        <v>385710.04000000004</v>
      </c>
      <c r="C1140" s="485">
        <v>187583</v>
      </c>
      <c r="D1140" s="486">
        <f t="shared" si="6"/>
        <v>198127.04</v>
      </c>
    </row>
    <row r="1141" spans="1:4" ht="15" x14ac:dyDescent="0.25">
      <c r="A1141" s="482">
        <v>43963</v>
      </c>
      <c r="B1141" s="370">
        <f t="shared" si="5"/>
        <v>385904.98</v>
      </c>
      <c r="C1141" s="485">
        <v>187777.94</v>
      </c>
      <c r="D1141" s="486">
        <f t="shared" si="6"/>
        <v>198127.04</v>
      </c>
    </row>
    <row r="1142" spans="1:4" ht="15" x14ac:dyDescent="0.25">
      <c r="A1142" s="482">
        <v>43964</v>
      </c>
      <c r="B1142" s="333">
        <f t="shared" si="5"/>
        <v>362979.35</v>
      </c>
      <c r="C1142" s="485">
        <v>187778</v>
      </c>
      <c r="D1142" s="486">
        <v>175201.35</v>
      </c>
    </row>
    <row r="1143" spans="1:4" ht="15" x14ac:dyDescent="0.25">
      <c r="A1143" s="482">
        <v>43965</v>
      </c>
      <c r="B1143" s="333">
        <f t="shared" si="5"/>
        <v>362979.35</v>
      </c>
      <c r="C1143" s="485">
        <v>187778</v>
      </c>
      <c r="D1143" s="486">
        <f t="shared" si="6"/>
        <v>175201.35</v>
      </c>
    </row>
    <row r="1144" spans="1:4" ht="15" x14ac:dyDescent="0.25">
      <c r="A1144" s="482">
        <v>43966</v>
      </c>
      <c r="B1144" s="333">
        <f t="shared" si="5"/>
        <v>362624.73</v>
      </c>
      <c r="C1144" s="485">
        <v>187400</v>
      </c>
      <c r="D1144" s="486">
        <v>175224.73</v>
      </c>
    </row>
    <row r="1145" spans="1:4" ht="15" x14ac:dyDescent="0.25">
      <c r="A1145" s="482">
        <v>43969</v>
      </c>
      <c r="B1145" s="333">
        <f t="shared" si="5"/>
        <v>362070.03</v>
      </c>
      <c r="C1145" s="485">
        <v>187400</v>
      </c>
      <c r="D1145" s="486">
        <v>174670.03</v>
      </c>
    </row>
    <row r="1146" spans="1:4" ht="15" x14ac:dyDescent="0.25">
      <c r="A1146" s="482">
        <v>43970</v>
      </c>
      <c r="B1146" s="333">
        <f t="shared" si="5"/>
        <v>352214.86</v>
      </c>
      <c r="C1146" s="485">
        <v>187400</v>
      </c>
      <c r="D1146" s="486">
        <v>164814.85999999999</v>
      </c>
    </row>
    <row r="1147" spans="1:4" ht="15" x14ac:dyDescent="0.25">
      <c r="A1147" s="482">
        <v>43971</v>
      </c>
      <c r="B1147" s="333">
        <f t="shared" si="5"/>
        <v>352214.86</v>
      </c>
      <c r="C1147" s="485">
        <v>187400</v>
      </c>
      <c r="D1147" s="486">
        <f t="shared" si="6"/>
        <v>164814.85999999999</v>
      </c>
    </row>
    <row r="1148" spans="1:4" ht="15" x14ac:dyDescent="0.25">
      <c r="A1148" s="482">
        <v>43972</v>
      </c>
      <c r="B1148" s="333">
        <f t="shared" si="5"/>
        <v>337570.28</v>
      </c>
      <c r="C1148" s="485">
        <v>178152.54</v>
      </c>
      <c r="D1148" s="486">
        <v>159417.74</v>
      </c>
    </row>
    <row r="1149" spans="1:4" ht="15" x14ac:dyDescent="0.25">
      <c r="A1149" s="482">
        <v>43973</v>
      </c>
      <c r="B1149" s="333">
        <f t="shared" si="5"/>
        <v>337570.28</v>
      </c>
      <c r="C1149" s="485">
        <v>178152.54</v>
      </c>
      <c r="D1149" s="486">
        <f t="shared" si="6"/>
        <v>159417.74</v>
      </c>
    </row>
    <row r="1150" spans="1:4" x14ac:dyDescent="0.2">
      <c r="A1150" s="344">
        <v>43976</v>
      </c>
      <c r="B1150" s="333">
        <f t="shared" si="5"/>
        <v>337570.28</v>
      </c>
      <c r="C1150" s="485">
        <v>178152.54</v>
      </c>
      <c r="D1150" s="486">
        <f t="shared" si="6"/>
        <v>159417.74</v>
      </c>
    </row>
    <row r="1151" spans="1:4" x14ac:dyDescent="0.2">
      <c r="A1151" s="344">
        <v>43977</v>
      </c>
      <c r="B1151" s="333">
        <f t="shared" si="5"/>
        <v>337570.28</v>
      </c>
      <c r="C1151" s="485">
        <v>178152.54</v>
      </c>
      <c r="D1151" s="486">
        <f t="shared" si="6"/>
        <v>159417.74</v>
      </c>
    </row>
    <row r="1152" spans="1:4" x14ac:dyDescent="0.2">
      <c r="A1152" s="344">
        <v>43978</v>
      </c>
      <c r="B1152" s="333">
        <f t="shared" si="5"/>
        <v>314828.33999999997</v>
      </c>
      <c r="C1152" s="485">
        <v>178108.54</v>
      </c>
      <c r="D1152" s="486">
        <v>136719.79999999999</v>
      </c>
    </row>
    <row r="1153" spans="1:4" x14ac:dyDescent="0.2">
      <c r="A1153" s="344">
        <v>43979</v>
      </c>
      <c r="B1153" s="333">
        <f t="shared" si="5"/>
        <v>314642.31</v>
      </c>
      <c r="C1153" s="485">
        <v>177922.51</v>
      </c>
      <c r="D1153" s="486">
        <f t="shared" si="6"/>
        <v>136719.79999999999</v>
      </c>
    </row>
    <row r="1154" spans="1:4" x14ac:dyDescent="0.2">
      <c r="A1154" s="344">
        <v>43980</v>
      </c>
      <c r="B1154" s="333">
        <f t="shared" si="5"/>
        <v>314180.40000000002</v>
      </c>
      <c r="C1154" s="485">
        <v>177460.6</v>
      </c>
      <c r="D1154" s="486">
        <f t="shared" si="6"/>
        <v>136719.79999999999</v>
      </c>
    </row>
    <row r="1155" spans="1:4" x14ac:dyDescent="0.2">
      <c r="A1155" s="344">
        <v>43983</v>
      </c>
      <c r="B1155" s="333">
        <f t="shared" si="5"/>
        <v>336211.19</v>
      </c>
      <c r="C1155" s="485">
        <v>201698.93</v>
      </c>
      <c r="D1155" s="486">
        <v>134512.26</v>
      </c>
    </row>
    <row r="1156" spans="1:4" x14ac:dyDescent="0.2">
      <c r="A1156" s="344">
        <v>43984</v>
      </c>
      <c r="B1156" s="333">
        <f t="shared" si="5"/>
        <v>327639.93</v>
      </c>
      <c r="C1156" s="485">
        <v>201512.93</v>
      </c>
      <c r="D1156" s="486">
        <v>126127</v>
      </c>
    </row>
    <row r="1157" spans="1:4" x14ac:dyDescent="0.2">
      <c r="A1157" s="344">
        <v>43985</v>
      </c>
      <c r="B1157" s="333">
        <f t="shared" si="5"/>
        <v>327640</v>
      </c>
      <c r="C1157" s="485">
        <v>201513</v>
      </c>
      <c r="D1157" s="486">
        <f t="shared" si="6"/>
        <v>126127</v>
      </c>
    </row>
    <row r="1158" spans="1:4" x14ac:dyDescent="0.2">
      <c r="A1158" s="344">
        <v>43986</v>
      </c>
      <c r="B1158" s="333">
        <f t="shared" si="5"/>
        <v>332166.29000000004</v>
      </c>
      <c r="C1158" s="485">
        <v>206039.29</v>
      </c>
      <c r="D1158" s="486">
        <f t="shared" si="6"/>
        <v>126127</v>
      </c>
    </row>
    <row r="1159" spans="1:4" x14ac:dyDescent="0.2">
      <c r="A1159" s="344">
        <v>43987</v>
      </c>
      <c r="B1159" s="333">
        <f t="shared" si="5"/>
        <v>332166.29000000004</v>
      </c>
      <c r="C1159" s="485">
        <f>C1158</f>
        <v>206039.29</v>
      </c>
      <c r="D1159" s="486">
        <f t="shared" si="6"/>
        <v>126127</v>
      </c>
    </row>
    <row r="1160" spans="1:4" x14ac:dyDescent="0.2">
      <c r="A1160" s="344">
        <v>43990</v>
      </c>
      <c r="B1160" s="333">
        <f t="shared" si="5"/>
        <v>378580.41000000003</v>
      </c>
      <c r="C1160" s="485">
        <v>252453.41</v>
      </c>
      <c r="D1160" s="486">
        <f t="shared" si="6"/>
        <v>126127</v>
      </c>
    </row>
    <row r="1161" spans="1:4" x14ac:dyDescent="0.2">
      <c r="A1161" s="344">
        <v>43991</v>
      </c>
      <c r="B1161" s="333">
        <f t="shared" si="5"/>
        <v>378580.41000000003</v>
      </c>
      <c r="C1161" s="485">
        <f t="shared" ref="C1161:C1175" si="7">C1160</f>
        <v>252453.41</v>
      </c>
      <c r="D1161" s="486">
        <f t="shared" si="6"/>
        <v>126127</v>
      </c>
    </row>
    <row r="1162" spans="1:4" x14ac:dyDescent="0.2">
      <c r="A1162" s="344">
        <v>43992</v>
      </c>
      <c r="B1162" s="333">
        <f t="shared" si="5"/>
        <v>355599.42</v>
      </c>
      <c r="C1162" s="485">
        <f t="shared" si="7"/>
        <v>252453.41</v>
      </c>
      <c r="D1162" s="486">
        <v>103146.01</v>
      </c>
    </row>
    <row r="1163" spans="1:4" x14ac:dyDescent="0.2">
      <c r="A1163" s="344">
        <v>43993</v>
      </c>
      <c r="B1163" s="333">
        <f t="shared" si="5"/>
        <v>348512.49</v>
      </c>
      <c r="C1163" s="485">
        <v>255461.07</v>
      </c>
      <c r="D1163" s="486">
        <v>93051.42</v>
      </c>
    </row>
    <row r="1164" spans="1:4" x14ac:dyDescent="0.2">
      <c r="A1164" s="344">
        <v>43994</v>
      </c>
      <c r="B1164" s="333">
        <f t="shared" si="5"/>
        <v>351663.19</v>
      </c>
      <c r="C1164" s="485">
        <v>258611.77</v>
      </c>
      <c r="D1164" s="486">
        <f t="shared" si="6"/>
        <v>93051.42</v>
      </c>
    </row>
    <row r="1165" spans="1:4" x14ac:dyDescent="0.2">
      <c r="A1165" s="344">
        <v>43997</v>
      </c>
      <c r="B1165" s="333">
        <f t="shared" si="5"/>
        <v>351097.70999999996</v>
      </c>
      <c r="C1165" s="485">
        <f t="shared" si="7"/>
        <v>258611.77</v>
      </c>
      <c r="D1165" s="486">
        <v>92485.94</v>
      </c>
    </row>
    <row r="1166" spans="1:4" x14ac:dyDescent="0.2">
      <c r="A1166" s="344">
        <v>43998</v>
      </c>
      <c r="B1166" s="333">
        <f t="shared" si="5"/>
        <v>351097.70999999996</v>
      </c>
      <c r="C1166" s="485">
        <f t="shared" si="7"/>
        <v>258611.77</v>
      </c>
      <c r="D1166" s="486">
        <f t="shared" si="6"/>
        <v>92485.94</v>
      </c>
    </row>
    <row r="1167" spans="1:4" x14ac:dyDescent="0.2">
      <c r="A1167" s="344">
        <v>43999</v>
      </c>
      <c r="B1167" s="333">
        <f t="shared" si="5"/>
        <v>342735.58</v>
      </c>
      <c r="C1167" s="485">
        <v>250249.64</v>
      </c>
      <c r="D1167" s="486">
        <f t="shared" si="6"/>
        <v>92485.94</v>
      </c>
    </row>
    <row r="1168" spans="1:4" x14ac:dyDescent="0.2">
      <c r="A1168" s="344">
        <v>44000</v>
      </c>
      <c r="B1168" s="333">
        <f t="shared" si="5"/>
        <v>344495.52</v>
      </c>
      <c r="C1168" s="485">
        <v>252009.58</v>
      </c>
      <c r="D1168" s="486">
        <f t="shared" si="6"/>
        <v>92485.94</v>
      </c>
    </row>
    <row r="1169" spans="1:4" x14ac:dyDescent="0.2">
      <c r="A1169" s="344">
        <v>44001</v>
      </c>
      <c r="B1169" s="333">
        <f t="shared" si="5"/>
        <v>344495.52</v>
      </c>
      <c r="C1169" s="485">
        <f t="shared" si="7"/>
        <v>252009.58</v>
      </c>
      <c r="D1169" s="486">
        <f t="shared" si="6"/>
        <v>92485.94</v>
      </c>
    </row>
    <row r="1170" spans="1:4" x14ac:dyDescent="0.2">
      <c r="A1170" s="344">
        <v>44004</v>
      </c>
      <c r="B1170" s="333">
        <f t="shared" si="5"/>
        <v>344495.52</v>
      </c>
      <c r="C1170" s="485">
        <f t="shared" si="7"/>
        <v>252009.58</v>
      </c>
      <c r="D1170" s="486">
        <f t="shared" si="6"/>
        <v>92485.94</v>
      </c>
    </row>
    <row r="1171" spans="1:4" x14ac:dyDescent="0.2">
      <c r="A1171" s="344">
        <v>44005</v>
      </c>
      <c r="B1171" s="333">
        <f t="shared" si="5"/>
        <v>334324.15000000002</v>
      </c>
      <c r="C1171" s="485">
        <v>241838.21</v>
      </c>
      <c r="D1171" s="486">
        <f t="shared" si="6"/>
        <v>92485.94</v>
      </c>
    </row>
    <row r="1172" spans="1:4" x14ac:dyDescent="0.2">
      <c r="A1172" s="344">
        <v>44006</v>
      </c>
      <c r="B1172" s="333">
        <f t="shared" si="5"/>
        <v>342928.85</v>
      </c>
      <c r="C1172" s="485">
        <v>275398.59999999998</v>
      </c>
      <c r="D1172" s="486">
        <v>67530.25</v>
      </c>
    </row>
    <row r="1173" spans="1:4" x14ac:dyDescent="0.2">
      <c r="A1173" s="344">
        <v>44007</v>
      </c>
      <c r="B1173" s="333">
        <f t="shared" si="5"/>
        <v>325375.87</v>
      </c>
      <c r="C1173" s="485">
        <v>268709.96999999997</v>
      </c>
      <c r="D1173" s="486">
        <v>56665.9</v>
      </c>
    </row>
    <row r="1174" spans="1:4" x14ac:dyDescent="0.2">
      <c r="A1174" s="344">
        <v>44008</v>
      </c>
      <c r="B1174" s="333">
        <f t="shared" si="5"/>
        <v>324225.81</v>
      </c>
      <c r="C1174" s="485">
        <v>268257.68</v>
      </c>
      <c r="D1174" s="486">
        <v>55968.13</v>
      </c>
    </row>
    <row r="1175" spans="1:4" x14ac:dyDescent="0.2">
      <c r="A1175" s="344">
        <v>44011</v>
      </c>
      <c r="B1175" s="333">
        <f t="shared" si="5"/>
        <v>324225.81</v>
      </c>
      <c r="C1175" s="485">
        <f t="shared" si="7"/>
        <v>268257.68</v>
      </c>
      <c r="D1175" s="486">
        <f t="shared" si="6"/>
        <v>55968.13</v>
      </c>
    </row>
    <row r="1176" spans="1:4" x14ac:dyDescent="0.2">
      <c r="A1176" s="344">
        <v>44012</v>
      </c>
      <c r="B1176" s="333">
        <f t="shared" si="5"/>
        <v>332737.41000000003</v>
      </c>
      <c r="C1176" s="485">
        <v>276769.28000000003</v>
      </c>
      <c r="D1176" s="486">
        <f t="shared" si="6"/>
        <v>55968.13</v>
      </c>
    </row>
    <row r="1177" spans="1:4" x14ac:dyDescent="0.2">
      <c r="A1177" s="344">
        <v>44013</v>
      </c>
      <c r="B1177" s="333">
        <f t="shared" si="5"/>
        <v>348287.12</v>
      </c>
      <c r="C1177" s="485">
        <v>292318.99</v>
      </c>
      <c r="D1177" s="486">
        <f t="shared" si="6"/>
        <v>55968.13</v>
      </c>
    </row>
    <row r="1178" spans="1:4" x14ac:dyDescent="0.2">
      <c r="A1178" s="344">
        <v>44014</v>
      </c>
      <c r="B1178" s="333">
        <f t="shared" si="5"/>
        <v>351754.67</v>
      </c>
      <c r="C1178" s="485">
        <v>295786.53999999998</v>
      </c>
      <c r="D1178" s="486">
        <f t="shared" si="6"/>
        <v>55968.13</v>
      </c>
    </row>
    <row r="1179" spans="1:4" x14ac:dyDescent="0.2">
      <c r="A1179" s="344">
        <v>44015</v>
      </c>
      <c r="B1179" s="333">
        <f t="shared" si="5"/>
        <v>352041.67</v>
      </c>
      <c r="C1179" s="485">
        <v>296073.53999999998</v>
      </c>
      <c r="D1179" s="486">
        <f t="shared" si="6"/>
        <v>55968.13</v>
      </c>
    </row>
    <row r="1180" spans="1:4" x14ac:dyDescent="0.2">
      <c r="A1180" s="344">
        <v>44018</v>
      </c>
      <c r="B1180" s="333">
        <f t="shared" si="5"/>
        <v>352042</v>
      </c>
      <c r="C1180" s="485">
        <v>296074</v>
      </c>
      <c r="D1180" s="486">
        <v>55968</v>
      </c>
    </row>
    <row r="1181" spans="1:4" x14ac:dyDescent="0.2">
      <c r="A1181" s="344">
        <v>44019</v>
      </c>
      <c r="B1181" s="333">
        <f t="shared" si="5"/>
        <v>352042</v>
      </c>
      <c r="C1181" s="485">
        <v>296074</v>
      </c>
      <c r="D1181" s="486">
        <v>55968</v>
      </c>
    </row>
    <row r="1182" spans="1:4" x14ac:dyDescent="0.2">
      <c r="A1182" s="344">
        <v>44020</v>
      </c>
      <c r="B1182" s="333">
        <f t="shared" si="5"/>
        <v>326415.09999999998</v>
      </c>
      <c r="C1182" s="485">
        <v>296074</v>
      </c>
      <c r="D1182" s="486">
        <v>30341.1</v>
      </c>
    </row>
    <row r="1183" spans="1:4" x14ac:dyDescent="0.2">
      <c r="A1183" s="344">
        <v>44021</v>
      </c>
      <c r="B1183" s="333">
        <f t="shared" si="5"/>
        <v>312231.88999999996</v>
      </c>
      <c r="C1183" s="485">
        <v>293240.15999999997</v>
      </c>
      <c r="D1183" s="486">
        <v>18991.73</v>
      </c>
    </row>
    <row r="1184" spans="1:4" x14ac:dyDescent="0.2">
      <c r="A1184" s="344">
        <v>44022</v>
      </c>
      <c r="B1184" s="333">
        <f t="shared" si="5"/>
        <v>311779.87</v>
      </c>
      <c r="C1184" s="485">
        <v>292787.87</v>
      </c>
      <c r="D1184" s="486">
        <v>18992</v>
      </c>
    </row>
    <row r="1185" spans="1:4" x14ac:dyDescent="0.2">
      <c r="A1185" s="344">
        <v>44025</v>
      </c>
      <c r="B1185" s="333">
        <f t="shared" si="5"/>
        <v>311474.96999999997</v>
      </c>
      <c r="C1185" s="485">
        <v>293190.87</v>
      </c>
      <c r="D1185" s="486">
        <v>18284.099999999999</v>
      </c>
    </row>
    <row r="1186" spans="1:4" x14ac:dyDescent="0.2">
      <c r="A1186" s="344">
        <v>44026</v>
      </c>
      <c r="B1186" s="333">
        <f t="shared" si="5"/>
        <v>315477.69</v>
      </c>
      <c r="C1186" s="485">
        <v>297193.59000000003</v>
      </c>
      <c r="D1186" s="486">
        <v>18284.099999999999</v>
      </c>
    </row>
    <row r="1187" spans="1:4" x14ac:dyDescent="0.2">
      <c r="A1187" s="344">
        <v>44027</v>
      </c>
      <c r="B1187" s="333">
        <f t="shared" si="5"/>
        <v>315594.98</v>
      </c>
      <c r="C1187" s="485">
        <v>297310.88</v>
      </c>
      <c r="D1187" s="486">
        <v>18284.099999999999</v>
      </c>
    </row>
    <row r="1188" spans="1:4" x14ac:dyDescent="0.2">
      <c r="A1188" s="344">
        <v>44028</v>
      </c>
      <c r="B1188" s="333">
        <f t="shared" si="5"/>
        <v>318211.11</v>
      </c>
      <c r="C1188" s="485">
        <v>299927.01</v>
      </c>
      <c r="D1188" s="486">
        <v>18284.099999999999</v>
      </c>
    </row>
    <row r="1189" spans="1:4" x14ac:dyDescent="0.2">
      <c r="A1189" s="344">
        <v>44029</v>
      </c>
      <c r="B1189" s="333">
        <f t="shared" si="5"/>
        <v>318211.09999999998</v>
      </c>
      <c r="C1189" s="485">
        <v>299927</v>
      </c>
      <c r="D1189" s="486">
        <v>18284.099999999999</v>
      </c>
    </row>
    <row r="1190" spans="1:4" x14ac:dyDescent="0.2">
      <c r="A1190" s="344">
        <v>44032</v>
      </c>
      <c r="B1190" s="333">
        <f t="shared" si="5"/>
        <v>339655.69</v>
      </c>
      <c r="C1190" s="485">
        <v>304374.55</v>
      </c>
      <c r="D1190" s="486">
        <v>35281.14</v>
      </c>
    </row>
    <row r="1191" spans="1:4" x14ac:dyDescent="0.2">
      <c r="A1191" s="344">
        <v>44033</v>
      </c>
      <c r="B1191" s="333">
        <f t="shared" si="5"/>
        <v>328838.90999999997</v>
      </c>
      <c r="C1191" s="485">
        <v>293557.90999999997</v>
      </c>
      <c r="D1191" s="486">
        <v>35281</v>
      </c>
    </row>
    <row r="1192" spans="1:4" x14ac:dyDescent="0.2">
      <c r="A1192" s="344">
        <v>44034</v>
      </c>
      <c r="B1192" s="333">
        <f t="shared" si="5"/>
        <v>315049.81</v>
      </c>
      <c r="C1192" s="485">
        <v>305336.09999999998</v>
      </c>
      <c r="D1192" s="486">
        <v>9713.7099999999991</v>
      </c>
    </row>
    <row r="1193" spans="1:4" x14ac:dyDescent="0.2">
      <c r="A1193" s="344">
        <v>44035</v>
      </c>
      <c r="B1193" s="333">
        <f t="shared" si="5"/>
        <v>308750.14999999997</v>
      </c>
      <c r="C1193" s="485">
        <v>307782.98</v>
      </c>
      <c r="D1193" s="486">
        <v>967.17</v>
      </c>
    </row>
    <row r="1194" spans="1:4" x14ac:dyDescent="0.2">
      <c r="A1194" s="344">
        <v>44036</v>
      </c>
      <c r="B1194" s="333">
        <f t="shared" si="5"/>
        <v>309653.73</v>
      </c>
      <c r="C1194" s="485">
        <v>309453.73</v>
      </c>
      <c r="D1194" s="486">
        <v>200</v>
      </c>
    </row>
    <row r="1195" spans="1:4" x14ac:dyDescent="0.2">
      <c r="A1195" s="344">
        <v>44039</v>
      </c>
      <c r="B1195" s="333">
        <f t="shared" si="5"/>
        <v>300292.32</v>
      </c>
      <c r="C1195" s="485">
        <v>300092.32</v>
      </c>
      <c r="D1195" s="486">
        <v>200</v>
      </c>
    </row>
    <row r="1196" spans="1:4" x14ac:dyDescent="0.2">
      <c r="A1196" s="344">
        <v>44040</v>
      </c>
      <c r="B1196" s="333">
        <f t="shared" si="5"/>
        <v>300248.32000000001</v>
      </c>
      <c r="C1196" s="485">
        <v>300048.32</v>
      </c>
      <c r="D1196" s="486">
        <v>200</v>
      </c>
    </row>
    <row r="1197" spans="1:4" x14ac:dyDescent="0.2">
      <c r="A1197" s="344">
        <v>44041</v>
      </c>
      <c r="B1197" s="333">
        <f t="shared" si="5"/>
        <v>298885.23</v>
      </c>
      <c r="C1197" s="485">
        <v>298685.23</v>
      </c>
      <c r="D1197" s="486">
        <v>200</v>
      </c>
    </row>
    <row r="1198" spans="1:4" x14ac:dyDescent="0.2">
      <c r="A1198" s="344">
        <v>44042</v>
      </c>
      <c r="B1198" s="333">
        <f t="shared" si="5"/>
        <v>298918.89</v>
      </c>
      <c r="C1198" s="485">
        <v>298718.89</v>
      </c>
      <c r="D1198" s="486">
        <v>200</v>
      </c>
    </row>
    <row r="1199" spans="1:4" x14ac:dyDescent="0.2">
      <c r="A1199" s="344">
        <v>44043</v>
      </c>
      <c r="B1199" s="333">
        <f t="shared" ref="B1199:B1262" si="8">C1199+D1199</f>
        <v>298919</v>
      </c>
      <c r="C1199" s="485">
        <v>298719</v>
      </c>
      <c r="D1199" s="486">
        <v>200</v>
      </c>
    </row>
    <row r="1200" spans="1:4" x14ac:dyDescent="0.2">
      <c r="A1200" s="344">
        <v>44046</v>
      </c>
      <c r="B1200" s="333">
        <f t="shared" si="8"/>
        <v>262470.13</v>
      </c>
      <c r="C1200" s="485">
        <v>262270.13</v>
      </c>
      <c r="D1200" s="486">
        <v>200</v>
      </c>
    </row>
    <row r="1201" spans="1:4" x14ac:dyDescent="0.2">
      <c r="A1201" s="344">
        <v>44047</v>
      </c>
      <c r="B1201" s="333">
        <f t="shared" si="8"/>
        <v>254560.85</v>
      </c>
      <c r="C1201" s="485">
        <v>254360.85</v>
      </c>
      <c r="D1201" s="486">
        <v>200</v>
      </c>
    </row>
    <row r="1202" spans="1:4" x14ac:dyDescent="0.2">
      <c r="A1202" s="344">
        <v>44048</v>
      </c>
      <c r="B1202" s="333">
        <f t="shared" si="8"/>
        <v>254561</v>
      </c>
      <c r="C1202" s="485">
        <v>254361</v>
      </c>
      <c r="D1202" s="486">
        <v>200</v>
      </c>
    </row>
    <row r="1203" spans="1:4" x14ac:dyDescent="0.2">
      <c r="A1203" s="344">
        <v>44049</v>
      </c>
      <c r="B1203" s="333">
        <f t="shared" si="8"/>
        <v>256783.26</v>
      </c>
      <c r="C1203" s="485">
        <v>256583.26</v>
      </c>
      <c r="D1203" s="486">
        <v>200</v>
      </c>
    </row>
    <row r="1204" spans="1:4" x14ac:dyDescent="0.2">
      <c r="A1204" s="344">
        <v>44050</v>
      </c>
      <c r="B1204" s="333">
        <f t="shared" si="8"/>
        <v>256330.97</v>
      </c>
      <c r="C1204" s="485">
        <v>256130.97</v>
      </c>
      <c r="D1204" s="486">
        <v>200</v>
      </c>
    </row>
    <row r="1205" spans="1:4" x14ac:dyDescent="0.2">
      <c r="A1205" s="344">
        <v>44053</v>
      </c>
      <c r="B1205" s="333">
        <f t="shared" si="8"/>
        <v>256331</v>
      </c>
      <c r="C1205" s="485">
        <v>256131</v>
      </c>
      <c r="D1205" s="486">
        <v>200</v>
      </c>
    </row>
    <row r="1206" spans="1:4" x14ac:dyDescent="0.2">
      <c r="A1206" s="344">
        <v>44054</v>
      </c>
      <c r="B1206" s="333">
        <f t="shared" si="8"/>
        <v>256331</v>
      </c>
      <c r="C1206" s="485">
        <v>256131</v>
      </c>
      <c r="D1206" s="486">
        <v>200</v>
      </c>
    </row>
    <row r="1207" spans="1:4" x14ac:dyDescent="0.2">
      <c r="A1207" s="344">
        <v>44055</v>
      </c>
      <c r="B1207" s="333">
        <f t="shared" si="8"/>
        <v>256420.97</v>
      </c>
      <c r="C1207" s="485">
        <v>256220.97</v>
      </c>
      <c r="D1207" s="486">
        <v>200</v>
      </c>
    </row>
    <row r="1208" spans="1:4" x14ac:dyDescent="0.2">
      <c r="A1208" s="344">
        <v>44056</v>
      </c>
      <c r="B1208" s="333">
        <f t="shared" si="8"/>
        <v>256421</v>
      </c>
      <c r="C1208" s="485">
        <v>256221</v>
      </c>
      <c r="D1208" s="486">
        <v>200</v>
      </c>
    </row>
    <row r="1209" spans="1:4" x14ac:dyDescent="0.2">
      <c r="A1209" s="344">
        <v>44057</v>
      </c>
      <c r="B1209" s="333">
        <f t="shared" si="8"/>
        <v>296838.09999999998</v>
      </c>
      <c r="C1209" s="485">
        <v>296638.09999999998</v>
      </c>
      <c r="D1209" s="486">
        <v>200</v>
      </c>
    </row>
    <row r="1210" spans="1:4" x14ac:dyDescent="0.2">
      <c r="A1210" s="344">
        <v>44060</v>
      </c>
      <c r="B1210" s="333">
        <f t="shared" si="8"/>
        <v>261012.14</v>
      </c>
      <c r="C1210" s="485">
        <v>260812.14</v>
      </c>
      <c r="D1210" s="486">
        <v>200</v>
      </c>
    </row>
    <row r="1211" spans="1:4" x14ac:dyDescent="0.2">
      <c r="A1211" s="344">
        <v>44061</v>
      </c>
      <c r="B1211" s="333">
        <f t="shared" si="8"/>
        <v>345553.24</v>
      </c>
      <c r="C1211" s="485">
        <v>345353.24</v>
      </c>
      <c r="D1211" s="486">
        <v>200</v>
      </c>
    </row>
    <row r="1212" spans="1:4" x14ac:dyDescent="0.2">
      <c r="A1212" s="344">
        <v>44062</v>
      </c>
      <c r="B1212" s="333">
        <f t="shared" si="8"/>
        <v>345720.24</v>
      </c>
      <c r="C1212" s="485">
        <v>345520.24</v>
      </c>
      <c r="D1212" s="486">
        <v>200</v>
      </c>
    </row>
    <row r="1213" spans="1:4" x14ac:dyDescent="0.2">
      <c r="A1213" s="344">
        <v>44063</v>
      </c>
      <c r="B1213" s="333">
        <f t="shared" si="8"/>
        <v>343380.65</v>
      </c>
      <c r="C1213" s="485">
        <v>343180.65</v>
      </c>
      <c r="D1213" s="486">
        <v>200</v>
      </c>
    </row>
    <row r="1214" spans="1:4" x14ac:dyDescent="0.2">
      <c r="A1214" s="344">
        <v>44064</v>
      </c>
      <c r="B1214" s="333">
        <f t="shared" si="8"/>
        <v>342938.36</v>
      </c>
      <c r="C1214" s="485">
        <v>342738.36</v>
      </c>
      <c r="D1214" s="486">
        <v>200</v>
      </c>
    </row>
    <row r="1215" spans="1:4" x14ac:dyDescent="0.2">
      <c r="A1215" s="344">
        <v>44067</v>
      </c>
      <c r="B1215" s="333">
        <f t="shared" si="8"/>
        <v>342938</v>
      </c>
      <c r="C1215" s="485">
        <v>342738</v>
      </c>
      <c r="D1215" s="486">
        <v>200</v>
      </c>
    </row>
    <row r="1216" spans="1:4" x14ac:dyDescent="0.2">
      <c r="A1216" s="344">
        <v>44068</v>
      </c>
      <c r="B1216" s="333">
        <f t="shared" si="8"/>
        <v>340515.33</v>
      </c>
      <c r="C1216" s="485">
        <v>340315.33</v>
      </c>
      <c r="D1216" s="486">
        <v>200</v>
      </c>
    </row>
    <row r="1217" spans="1:4" x14ac:dyDescent="0.2">
      <c r="A1217" s="344">
        <v>44069</v>
      </c>
      <c r="B1217" s="333">
        <f t="shared" si="8"/>
        <v>359946.57</v>
      </c>
      <c r="C1217" s="485">
        <v>359746.57</v>
      </c>
      <c r="D1217" s="486">
        <v>200</v>
      </c>
    </row>
    <row r="1218" spans="1:4" x14ac:dyDescent="0.2">
      <c r="A1218" s="344">
        <v>44070</v>
      </c>
      <c r="B1218" s="333">
        <f t="shared" si="8"/>
        <v>359946.57</v>
      </c>
      <c r="C1218" s="485">
        <v>359746.57</v>
      </c>
      <c r="D1218" s="486">
        <v>200</v>
      </c>
    </row>
    <row r="1219" spans="1:4" x14ac:dyDescent="0.2">
      <c r="A1219" s="344">
        <v>44071</v>
      </c>
      <c r="B1219" s="333">
        <f t="shared" si="8"/>
        <v>359946.57</v>
      </c>
      <c r="C1219" s="485">
        <v>359746.57</v>
      </c>
      <c r="D1219" s="486">
        <v>200</v>
      </c>
    </row>
    <row r="1220" spans="1:4" x14ac:dyDescent="0.2">
      <c r="A1220" s="344">
        <v>44074</v>
      </c>
      <c r="B1220" s="333">
        <f t="shared" si="8"/>
        <v>359946.57</v>
      </c>
      <c r="C1220" s="485">
        <v>359746.57</v>
      </c>
      <c r="D1220" s="486">
        <v>200</v>
      </c>
    </row>
    <row r="1221" spans="1:4" x14ac:dyDescent="0.2">
      <c r="A1221" s="344">
        <v>44075</v>
      </c>
      <c r="B1221" s="333">
        <f t="shared" si="8"/>
        <v>347126.06</v>
      </c>
      <c r="C1221" s="485">
        <v>346926.06</v>
      </c>
      <c r="D1221" s="486">
        <v>200</v>
      </c>
    </row>
    <row r="1222" spans="1:4" x14ac:dyDescent="0.2">
      <c r="A1222" s="344">
        <v>44076</v>
      </c>
      <c r="B1222" s="333">
        <f t="shared" si="8"/>
        <v>347075.06</v>
      </c>
      <c r="C1222" s="485">
        <v>346875.06</v>
      </c>
      <c r="D1222" s="486">
        <v>200</v>
      </c>
    </row>
    <row r="1223" spans="1:4" x14ac:dyDescent="0.2">
      <c r="A1223" s="344">
        <v>44077</v>
      </c>
      <c r="B1223" s="333">
        <f t="shared" si="8"/>
        <v>350416.44</v>
      </c>
      <c r="C1223" s="485">
        <v>350216.44</v>
      </c>
      <c r="D1223" s="486">
        <v>200</v>
      </c>
    </row>
    <row r="1224" spans="1:4" x14ac:dyDescent="0.2">
      <c r="A1224" s="344">
        <v>44078</v>
      </c>
      <c r="B1224" s="333">
        <f t="shared" si="8"/>
        <v>343258.81</v>
      </c>
      <c r="C1224" s="485">
        <v>343058.81</v>
      </c>
      <c r="D1224" s="486">
        <v>200</v>
      </c>
    </row>
    <row r="1225" spans="1:4" x14ac:dyDescent="0.2">
      <c r="A1225" s="344">
        <v>44081</v>
      </c>
      <c r="B1225" s="333">
        <f t="shared" si="8"/>
        <v>343258.81</v>
      </c>
      <c r="C1225" s="485">
        <v>343058.81</v>
      </c>
      <c r="D1225" s="486">
        <v>200</v>
      </c>
    </row>
    <row r="1226" spans="1:4" x14ac:dyDescent="0.2">
      <c r="A1226" s="344">
        <v>44082</v>
      </c>
      <c r="B1226" s="333">
        <f t="shared" si="8"/>
        <v>343258.81</v>
      </c>
      <c r="C1226" s="485">
        <v>343058.81</v>
      </c>
      <c r="D1226" s="486">
        <v>200</v>
      </c>
    </row>
    <row r="1227" spans="1:4" x14ac:dyDescent="0.2">
      <c r="A1227" s="344">
        <v>44083</v>
      </c>
      <c r="B1227" s="333">
        <f t="shared" si="8"/>
        <v>343258.81</v>
      </c>
      <c r="C1227" s="485">
        <v>343058.81</v>
      </c>
      <c r="D1227" s="486">
        <v>200</v>
      </c>
    </row>
    <row r="1228" spans="1:4" x14ac:dyDescent="0.2">
      <c r="A1228" s="344">
        <v>44084</v>
      </c>
      <c r="B1228" s="333">
        <f t="shared" si="8"/>
        <v>351420.85</v>
      </c>
      <c r="C1228" s="485">
        <v>351220.85</v>
      </c>
      <c r="D1228" s="486">
        <v>200</v>
      </c>
    </row>
    <row r="1229" spans="1:4" x14ac:dyDescent="0.2">
      <c r="A1229" s="344">
        <v>44085</v>
      </c>
      <c r="B1229" s="333">
        <f t="shared" si="8"/>
        <v>351420.85</v>
      </c>
      <c r="C1229" s="485">
        <v>351220.85</v>
      </c>
      <c r="D1229" s="486">
        <v>200</v>
      </c>
    </row>
    <row r="1230" spans="1:4" x14ac:dyDescent="0.2">
      <c r="A1230" s="344">
        <v>44088</v>
      </c>
      <c r="B1230" s="333">
        <f t="shared" si="8"/>
        <v>319295.21000000002</v>
      </c>
      <c r="C1230" s="485">
        <v>319095.21000000002</v>
      </c>
      <c r="D1230" s="486">
        <v>200</v>
      </c>
    </row>
    <row r="1231" spans="1:4" x14ac:dyDescent="0.2">
      <c r="A1231" s="344">
        <v>44089</v>
      </c>
      <c r="B1231" s="333">
        <f t="shared" si="8"/>
        <v>319390.87</v>
      </c>
      <c r="C1231" s="485">
        <v>319190.87</v>
      </c>
      <c r="D1231" s="486">
        <v>200</v>
      </c>
    </row>
    <row r="1232" spans="1:4" x14ac:dyDescent="0.2">
      <c r="A1232" s="344">
        <v>44090</v>
      </c>
      <c r="B1232" s="333">
        <f t="shared" si="8"/>
        <v>318221.31</v>
      </c>
      <c r="C1232" s="485">
        <v>318021.31</v>
      </c>
      <c r="D1232" s="486">
        <v>200</v>
      </c>
    </row>
    <row r="1233" spans="1:4" x14ac:dyDescent="0.2">
      <c r="A1233" s="344">
        <v>44091</v>
      </c>
      <c r="B1233" s="333">
        <f t="shared" si="8"/>
        <v>321494.34000000003</v>
      </c>
      <c r="C1233" s="485">
        <v>321294.34000000003</v>
      </c>
      <c r="D1233" s="486">
        <v>200</v>
      </c>
    </row>
    <row r="1234" spans="1:4" x14ac:dyDescent="0.2">
      <c r="A1234" s="344">
        <v>44092</v>
      </c>
      <c r="B1234" s="333">
        <f t="shared" si="8"/>
        <v>321052.05</v>
      </c>
      <c r="C1234" s="485">
        <v>320852.05</v>
      </c>
      <c r="D1234" s="486">
        <v>200</v>
      </c>
    </row>
    <row r="1235" spans="1:4" x14ac:dyDescent="0.2">
      <c r="A1235" s="344">
        <v>44095</v>
      </c>
      <c r="B1235" s="333">
        <f t="shared" si="8"/>
        <v>321052</v>
      </c>
      <c r="C1235" s="485">
        <v>320852</v>
      </c>
      <c r="D1235" s="486">
        <v>200</v>
      </c>
    </row>
    <row r="1236" spans="1:4" x14ac:dyDescent="0.2">
      <c r="A1236" s="344">
        <v>44096</v>
      </c>
      <c r="B1236" s="333">
        <f t="shared" si="8"/>
        <v>347075.9</v>
      </c>
      <c r="C1236" s="485">
        <v>346875.9</v>
      </c>
      <c r="D1236" s="486">
        <v>200</v>
      </c>
    </row>
    <row r="1237" spans="1:4" x14ac:dyDescent="0.2">
      <c r="A1237" s="344">
        <v>44097</v>
      </c>
      <c r="B1237" s="333">
        <f t="shared" si="8"/>
        <v>348950.3</v>
      </c>
      <c r="C1237" s="485">
        <v>348750.3</v>
      </c>
      <c r="D1237" s="486">
        <v>200</v>
      </c>
    </row>
    <row r="1238" spans="1:4" x14ac:dyDescent="0.2">
      <c r="A1238" s="344">
        <v>44098</v>
      </c>
      <c r="B1238" s="333">
        <f t="shared" si="8"/>
        <v>354130.18</v>
      </c>
      <c r="C1238" s="485">
        <v>353930.18</v>
      </c>
      <c r="D1238" s="486">
        <v>200</v>
      </c>
    </row>
    <row r="1239" spans="1:4" x14ac:dyDescent="0.2">
      <c r="A1239" s="344">
        <v>44099</v>
      </c>
      <c r="B1239" s="333">
        <f t="shared" si="8"/>
        <v>354086.18</v>
      </c>
      <c r="C1239" s="485">
        <v>353886.18</v>
      </c>
      <c r="D1239" s="486">
        <v>200</v>
      </c>
    </row>
    <row r="1240" spans="1:4" x14ac:dyDescent="0.2">
      <c r="A1240" s="344">
        <v>44102</v>
      </c>
      <c r="B1240" s="333">
        <f t="shared" si="8"/>
        <v>348608</v>
      </c>
      <c r="C1240" s="485">
        <v>348408</v>
      </c>
      <c r="D1240" s="486">
        <v>200</v>
      </c>
    </row>
    <row r="1241" spans="1:4" x14ac:dyDescent="0.2">
      <c r="A1241" s="344">
        <v>44103</v>
      </c>
      <c r="B1241" s="333">
        <f t="shared" si="8"/>
        <v>313591.89</v>
      </c>
      <c r="C1241" s="485">
        <v>313391.89</v>
      </c>
      <c r="D1241" s="486">
        <v>200</v>
      </c>
    </row>
    <row r="1242" spans="1:4" x14ac:dyDescent="0.2">
      <c r="A1242" s="344">
        <v>44104</v>
      </c>
      <c r="B1242" s="333">
        <f t="shared" si="8"/>
        <v>348489.68</v>
      </c>
      <c r="C1242" s="485">
        <v>348289.68</v>
      </c>
      <c r="D1242" s="486">
        <v>200</v>
      </c>
    </row>
    <row r="1243" spans="1:4" x14ac:dyDescent="0.2">
      <c r="A1243" s="344">
        <v>44105</v>
      </c>
      <c r="B1243" s="333">
        <f t="shared" si="8"/>
        <v>346634.44</v>
      </c>
      <c r="C1243" s="485">
        <v>346434.44</v>
      </c>
      <c r="D1243" s="486">
        <v>200</v>
      </c>
    </row>
    <row r="1244" spans="1:4" x14ac:dyDescent="0.2">
      <c r="A1244" s="344">
        <v>44106</v>
      </c>
      <c r="B1244" s="333">
        <f t="shared" si="8"/>
        <v>346390.75</v>
      </c>
      <c r="C1244" s="485">
        <v>346190.75</v>
      </c>
      <c r="D1244" s="486">
        <v>200</v>
      </c>
    </row>
    <row r="1245" spans="1:4" x14ac:dyDescent="0.2">
      <c r="A1245" s="344">
        <v>44109</v>
      </c>
      <c r="B1245" s="333">
        <f t="shared" si="8"/>
        <v>346313.83</v>
      </c>
      <c r="C1245" s="485">
        <v>346113.83</v>
      </c>
      <c r="D1245" s="486">
        <v>200</v>
      </c>
    </row>
    <row r="1246" spans="1:4" x14ac:dyDescent="0.2">
      <c r="A1246" s="344">
        <v>44110</v>
      </c>
      <c r="B1246" s="333">
        <f t="shared" si="8"/>
        <v>346084.99</v>
      </c>
      <c r="C1246" s="485">
        <v>345884.99</v>
      </c>
      <c r="D1246" s="486">
        <v>200</v>
      </c>
    </row>
    <row r="1247" spans="1:4" x14ac:dyDescent="0.2">
      <c r="A1247" s="344">
        <v>44111</v>
      </c>
      <c r="B1247" s="333">
        <f t="shared" si="8"/>
        <v>346085</v>
      </c>
      <c r="C1247" s="485">
        <v>345885</v>
      </c>
      <c r="D1247" s="486">
        <v>200</v>
      </c>
    </row>
    <row r="1248" spans="1:4" x14ac:dyDescent="0.2">
      <c r="A1248" s="344">
        <v>44112</v>
      </c>
      <c r="B1248" s="333">
        <f t="shared" si="8"/>
        <v>380839.99</v>
      </c>
      <c r="C1248" s="485">
        <v>380639.99</v>
      </c>
      <c r="D1248" s="486">
        <v>200</v>
      </c>
    </row>
    <row r="1249" spans="1:4" x14ac:dyDescent="0.2">
      <c r="A1249" s="344">
        <v>44113</v>
      </c>
      <c r="B1249" s="333">
        <f t="shared" si="8"/>
        <v>380840</v>
      </c>
      <c r="C1249" s="485">
        <v>380640</v>
      </c>
      <c r="D1249" s="486">
        <v>200</v>
      </c>
    </row>
    <row r="1250" spans="1:4" x14ac:dyDescent="0.2">
      <c r="A1250" s="344">
        <v>44116</v>
      </c>
      <c r="B1250" s="333">
        <f t="shared" si="8"/>
        <v>380840</v>
      </c>
      <c r="C1250" s="485">
        <v>380640</v>
      </c>
      <c r="D1250" s="486">
        <v>200</v>
      </c>
    </row>
    <row r="1251" spans="1:4" x14ac:dyDescent="0.2">
      <c r="A1251" s="344">
        <v>44117</v>
      </c>
      <c r="B1251" s="333">
        <f t="shared" si="8"/>
        <v>346182.3</v>
      </c>
      <c r="C1251" s="485">
        <v>345982.3</v>
      </c>
      <c r="D1251" s="486">
        <v>200</v>
      </c>
    </row>
    <row r="1252" spans="1:4" x14ac:dyDescent="0.2">
      <c r="A1252" s="344">
        <v>44118</v>
      </c>
      <c r="B1252" s="333">
        <f t="shared" si="8"/>
        <v>346103.46</v>
      </c>
      <c r="C1252" s="485">
        <v>345903.46</v>
      </c>
      <c r="D1252" s="486">
        <v>200</v>
      </c>
    </row>
    <row r="1253" spans="1:4" x14ac:dyDescent="0.2">
      <c r="A1253" s="344">
        <v>44119</v>
      </c>
      <c r="B1253" s="333">
        <f t="shared" si="8"/>
        <v>339569.88</v>
      </c>
      <c r="C1253" s="485">
        <v>339369.88</v>
      </c>
      <c r="D1253" s="486">
        <v>200</v>
      </c>
    </row>
    <row r="1254" spans="1:4" x14ac:dyDescent="0.2">
      <c r="A1254" s="344">
        <v>44120</v>
      </c>
      <c r="B1254" s="333">
        <f t="shared" si="8"/>
        <v>364967.49</v>
      </c>
      <c r="C1254" s="485">
        <v>364767.49</v>
      </c>
      <c r="D1254" s="486">
        <v>200</v>
      </c>
    </row>
    <row r="1255" spans="1:4" x14ac:dyDescent="0.2">
      <c r="A1255" s="344">
        <v>44123</v>
      </c>
      <c r="B1255" s="333">
        <f t="shared" si="8"/>
        <v>343525.33</v>
      </c>
      <c r="C1255" s="485">
        <v>343325.33</v>
      </c>
      <c r="D1255" s="486">
        <v>200</v>
      </c>
    </row>
    <row r="1256" spans="1:4" x14ac:dyDescent="0.2">
      <c r="A1256" s="344">
        <v>44124</v>
      </c>
      <c r="B1256" s="333">
        <f t="shared" si="8"/>
        <v>343525</v>
      </c>
      <c r="C1256" s="485">
        <v>343325</v>
      </c>
      <c r="D1256" s="486">
        <v>200</v>
      </c>
    </row>
    <row r="1257" spans="1:4" x14ac:dyDescent="0.2">
      <c r="A1257" s="344">
        <v>44125</v>
      </c>
      <c r="B1257" s="333">
        <f t="shared" si="8"/>
        <v>340413.21</v>
      </c>
      <c r="C1257" s="485">
        <v>340213.21</v>
      </c>
      <c r="D1257" s="486">
        <v>200</v>
      </c>
    </row>
    <row r="1258" spans="1:4" x14ac:dyDescent="0.2">
      <c r="A1258" s="344">
        <v>44126</v>
      </c>
      <c r="B1258" s="333">
        <f t="shared" si="8"/>
        <v>354245.2</v>
      </c>
      <c r="C1258" s="485">
        <v>354045.2</v>
      </c>
      <c r="D1258" s="486">
        <v>200</v>
      </c>
    </row>
    <row r="1259" spans="1:4" x14ac:dyDescent="0.2">
      <c r="A1259" s="344">
        <v>44127</v>
      </c>
      <c r="B1259" s="333">
        <f t="shared" si="8"/>
        <v>354086.35</v>
      </c>
      <c r="C1259" s="485">
        <v>353886.35</v>
      </c>
      <c r="D1259" s="486">
        <v>200</v>
      </c>
    </row>
    <row r="1260" spans="1:4" x14ac:dyDescent="0.2">
      <c r="A1260" s="344">
        <v>44130</v>
      </c>
      <c r="B1260" s="333">
        <f t="shared" si="8"/>
        <v>354086</v>
      </c>
      <c r="C1260" s="485">
        <v>353886</v>
      </c>
      <c r="D1260" s="486">
        <v>200</v>
      </c>
    </row>
    <row r="1261" spans="1:4" x14ac:dyDescent="0.2">
      <c r="A1261" s="344">
        <v>44131</v>
      </c>
      <c r="B1261" s="333">
        <f t="shared" si="8"/>
        <v>312941.49</v>
      </c>
      <c r="C1261" s="485">
        <v>312741.49</v>
      </c>
      <c r="D1261" s="486">
        <v>200</v>
      </c>
    </row>
    <row r="1262" spans="1:4" x14ac:dyDescent="0.2">
      <c r="A1262" s="344">
        <v>44132</v>
      </c>
      <c r="B1262" s="333">
        <f t="shared" si="8"/>
        <v>312941</v>
      </c>
      <c r="C1262" s="485">
        <v>312741</v>
      </c>
      <c r="D1262" s="486">
        <v>200</v>
      </c>
    </row>
    <row r="1263" spans="1:4" x14ac:dyDescent="0.2">
      <c r="A1263" s="344">
        <v>44133</v>
      </c>
      <c r="B1263" s="333">
        <f t="shared" ref="B1263:B1326" si="9">C1263+D1263</f>
        <v>312941</v>
      </c>
      <c r="C1263" s="485">
        <v>312741</v>
      </c>
      <c r="D1263" s="486">
        <v>200</v>
      </c>
    </row>
    <row r="1264" spans="1:4" x14ac:dyDescent="0.2">
      <c r="A1264" s="344">
        <v>44134</v>
      </c>
      <c r="B1264" s="333">
        <f t="shared" si="9"/>
        <v>336359.66</v>
      </c>
      <c r="C1264" s="485">
        <v>336159.66</v>
      </c>
      <c r="D1264" s="486">
        <v>200</v>
      </c>
    </row>
    <row r="1265" spans="1:4" x14ac:dyDescent="0.2">
      <c r="A1265" s="344">
        <v>44137</v>
      </c>
      <c r="B1265" s="333">
        <f t="shared" si="9"/>
        <v>336077.1</v>
      </c>
      <c r="C1265" s="485">
        <v>335877.1</v>
      </c>
      <c r="D1265" s="486">
        <v>200</v>
      </c>
    </row>
    <row r="1266" spans="1:4" x14ac:dyDescent="0.2">
      <c r="A1266" s="344">
        <v>44138</v>
      </c>
      <c r="B1266" s="333">
        <f t="shared" si="9"/>
        <v>336077</v>
      </c>
      <c r="C1266" s="485">
        <v>335877</v>
      </c>
      <c r="D1266" s="486">
        <v>200</v>
      </c>
    </row>
    <row r="1267" spans="1:4" x14ac:dyDescent="0.2">
      <c r="A1267" s="344">
        <v>44139</v>
      </c>
      <c r="B1267" s="333">
        <f t="shared" si="9"/>
        <v>328153.34999999998</v>
      </c>
      <c r="C1267" s="485">
        <v>327953.34999999998</v>
      </c>
      <c r="D1267" s="486">
        <v>200</v>
      </c>
    </row>
    <row r="1268" spans="1:4" x14ac:dyDescent="0.2">
      <c r="A1268" s="344">
        <v>44140</v>
      </c>
      <c r="B1268" s="333">
        <f t="shared" si="9"/>
        <v>328497.34999999998</v>
      </c>
      <c r="C1268" s="485">
        <v>328297.34999999998</v>
      </c>
      <c r="D1268" s="486">
        <v>200</v>
      </c>
    </row>
    <row r="1269" spans="1:4" x14ac:dyDescent="0.2">
      <c r="A1269" s="344">
        <v>44141</v>
      </c>
      <c r="B1269" s="333">
        <f t="shared" si="9"/>
        <v>327078.57</v>
      </c>
      <c r="C1269" s="485">
        <v>326878.57</v>
      </c>
      <c r="D1269" s="486">
        <v>200</v>
      </c>
    </row>
    <row r="1270" spans="1:4" x14ac:dyDescent="0.2">
      <c r="A1270" s="344">
        <v>44144</v>
      </c>
      <c r="B1270" s="333">
        <f t="shared" si="9"/>
        <v>293224.96000000002</v>
      </c>
      <c r="C1270" s="485">
        <v>293024.96000000002</v>
      </c>
      <c r="D1270" s="486">
        <v>200</v>
      </c>
    </row>
    <row r="1271" spans="1:4" x14ac:dyDescent="0.2">
      <c r="A1271" s="344">
        <v>44145</v>
      </c>
      <c r="B1271" s="333">
        <f t="shared" si="9"/>
        <v>297955.08</v>
      </c>
      <c r="C1271" s="485">
        <v>297755.08</v>
      </c>
      <c r="D1271" s="486">
        <v>200</v>
      </c>
    </row>
    <row r="1272" spans="1:4" x14ac:dyDescent="0.2">
      <c r="A1272" s="344">
        <v>44146</v>
      </c>
      <c r="B1272" s="333">
        <f t="shared" si="9"/>
        <v>297955</v>
      </c>
      <c r="C1272" s="485">
        <v>297755</v>
      </c>
      <c r="D1272" s="486">
        <v>200</v>
      </c>
    </row>
    <row r="1273" spans="1:4" x14ac:dyDescent="0.2">
      <c r="A1273" s="344">
        <v>44147</v>
      </c>
      <c r="B1273" s="333">
        <f t="shared" si="9"/>
        <v>301097.59000000003</v>
      </c>
      <c r="C1273" s="485">
        <v>300897.59000000003</v>
      </c>
      <c r="D1273" s="486">
        <v>200</v>
      </c>
    </row>
    <row r="1274" spans="1:4" x14ac:dyDescent="0.2">
      <c r="A1274" s="344">
        <v>44148</v>
      </c>
      <c r="B1274" s="333">
        <f t="shared" si="9"/>
        <v>300720.71000000002</v>
      </c>
      <c r="C1274" s="485">
        <v>300520.71000000002</v>
      </c>
      <c r="D1274" s="486">
        <v>200</v>
      </c>
    </row>
    <row r="1275" spans="1:4" x14ac:dyDescent="0.2">
      <c r="A1275" s="344">
        <v>44151</v>
      </c>
      <c r="B1275" s="333">
        <f t="shared" si="9"/>
        <v>300721</v>
      </c>
      <c r="C1275" s="485">
        <v>300521</v>
      </c>
      <c r="D1275" s="486">
        <v>200</v>
      </c>
    </row>
    <row r="1276" spans="1:4" x14ac:dyDescent="0.2">
      <c r="A1276" s="344">
        <v>44152</v>
      </c>
      <c r="B1276" s="333">
        <f t="shared" si="9"/>
        <v>300721</v>
      </c>
      <c r="C1276" s="485">
        <v>300521</v>
      </c>
      <c r="D1276" s="486">
        <v>200</v>
      </c>
    </row>
    <row r="1277" spans="1:4" x14ac:dyDescent="0.2">
      <c r="A1277" s="344">
        <v>44153</v>
      </c>
      <c r="B1277" s="333">
        <f t="shared" si="9"/>
        <v>298371.37</v>
      </c>
      <c r="C1277" s="485">
        <v>298171.37</v>
      </c>
      <c r="D1277" s="486">
        <v>200</v>
      </c>
    </row>
    <row r="1278" spans="1:4" x14ac:dyDescent="0.2">
      <c r="A1278" s="344">
        <v>44154</v>
      </c>
      <c r="B1278" s="333">
        <f t="shared" si="9"/>
        <v>298371</v>
      </c>
      <c r="C1278" s="485">
        <v>298171</v>
      </c>
      <c r="D1278" s="486">
        <v>200</v>
      </c>
    </row>
    <row r="1279" spans="1:4" x14ac:dyDescent="0.2">
      <c r="A1279" s="344">
        <v>44155</v>
      </c>
      <c r="B1279" s="333">
        <f t="shared" si="9"/>
        <v>297912.75</v>
      </c>
      <c r="C1279" s="485">
        <v>297712.75</v>
      </c>
      <c r="D1279" s="486">
        <v>200</v>
      </c>
    </row>
    <row r="1280" spans="1:4" x14ac:dyDescent="0.2">
      <c r="A1280" s="344">
        <v>44158</v>
      </c>
      <c r="B1280" s="333">
        <f t="shared" si="9"/>
        <v>260100.75</v>
      </c>
      <c r="C1280" s="485">
        <v>259900.75</v>
      </c>
      <c r="D1280" s="486">
        <v>200</v>
      </c>
    </row>
    <row r="1281" spans="1:4" x14ac:dyDescent="0.2">
      <c r="A1281" s="344">
        <v>44159</v>
      </c>
      <c r="B1281" s="333">
        <f t="shared" si="9"/>
        <v>260101</v>
      </c>
      <c r="C1281" s="485">
        <v>259901</v>
      </c>
      <c r="D1281" s="486">
        <v>200</v>
      </c>
    </row>
    <row r="1282" spans="1:4" x14ac:dyDescent="0.2">
      <c r="A1282" s="344">
        <v>44160</v>
      </c>
      <c r="B1282" s="333">
        <f t="shared" si="9"/>
        <v>259952.43</v>
      </c>
      <c r="C1282" s="485">
        <v>259752.43</v>
      </c>
      <c r="D1282" s="486">
        <v>200</v>
      </c>
    </row>
    <row r="1283" spans="1:4" x14ac:dyDescent="0.2">
      <c r="A1283" s="344">
        <v>44161</v>
      </c>
      <c r="B1283" s="333">
        <f t="shared" si="9"/>
        <v>259952</v>
      </c>
      <c r="C1283" s="485">
        <v>259752</v>
      </c>
      <c r="D1283" s="486">
        <v>200</v>
      </c>
    </row>
    <row r="1284" spans="1:4" x14ac:dyDescent="0.2">
      <c r="A1284" s="344">
        <v>44162</v>
      </c>
      <c r="B1284" s="333">
        <f t="shared" si="9"/>
        <v>261011.41</v>
      </c>
      <c r="C1284" s="485">
        <v>260811.41</v>
      </c>
      <c r="D1284" s="486">
        <v>200</v>
      </c>
    </row>
    <row r="1285" spans="1:4" x14ac:dyDescent="0.2">
      <c r="A1285" s="344">
        <v>44165</v>
      </c>
      <c r="B1285" s="333">
        <f t="shared" si="9"/>
        <v>256570.76</v>
      </c>
      <c r="C1285" s="485">
        <v>256370.76</v>
      </c>
      <c r="D1285" s="486">
        <v>200</v>
      </c>
    </row>
    <row r="1286" spans="1:4" x14ac:dyDescent="0.2">
      <c r="A1286" s="344">
        <v>44166</v>
      </c>
      <c r="B1286" s="333">
        <f t="shared" si="9"/>
        <v>256571</v>
      </c>
      <c r="C1286" s="485">
        <v>256371</v>
      </c>
      <c r="D1286" s="486">
        <v>200</v>
      </c>
    </row>
    <row r="1287" spans="1:4" x14ac:dyDescent="0.2">
      <c r="A1287" s="344">
        <v>44167</v>
      </c>
      <c r="B1287" s="333">
        <f t="shared" si="9"/>
        <v>343824.57</v>
      </c>
      <c r="C1287" s="485">
        <v>343624.57</v>
      </c>
      <c r="D1287" s="486">
        <v>200</v>
      </c>
    </row>
    <row r="1288" spans="1:4" x14ac:dyDescent="0.2">
      <c r="A1288" s="344">
        <v>44168</v>
      </c>
      <c r="B1288" s="333">
        <f t="shared" si="9"/>
        <v>348428.77</v>
      </c>
      <c r="C1288" s="485">
        <v>348228.77</v>
      </c>
      <c r="D1288" s="486">
        <v>200</v>
      </c>
    </row>
    <row r="1289" spans="1:4" x14ac:dyDescent="0.2">
      <c r="A1289" s="344">
        <v>44169</v>
      </c>
      <c r="B1289" s="333">
        <f t="shared" si="9"/>
        <v>348429</v>
      </c>
      <c r="C1289" s="485">
        <v>348229</v>
      </c>
      <c r="D1289" s="486">
        <v>200</v>
      </c>
    </row>
    <row r="1290" spans="1:4" x14ac:dyDescent="0.2">
      <c r="A1290" s="344">
        <v>44172</v>
      </c>
      <c r="B1290" s="333">
        <f t="shared" si="9"/>
        <v>313593.81</v>
      </c>
      <c r="C1290" s="485">
        <v>313393.81</v>
      </c>
      <c r="D1290" s="486">
        <v>200</v>
      </c>
    </row>
    <row r="1291" spans="1:4" x14ac:dyDescent="0.2">
      <c r="A1291" s="344">
        <v>44173</v>
      </c>
      <c r="B1291" s="333">
        <f t="shared" si="9"/>
        <v>320775.28999999998</v>
      </c>
      <c r="C1291" s="485">
        <v>320575.28999999998</v>
      </c>
      <c r="D1291" s="486">
        <v>200</v>
      </c>
    </row>
    <row r="1292" spans="1:4" x14ac:dyDescent="0.2">
      <c r="A1292" s="344">
        <v>44174</v>
      </c>
      <c r="B1292" s="333">
        <f t="shared" si="9"/>
        <v>321115.28999999998</v>
      </c>
      <c r="C1292" s="485">
        <v>320915.28999999998</v>
      </c>
      <c r="D1292" s="486">
        <v>200</v>
      </c>
    </row>
    <row r="1293" spans="1:4" x14ac:dyDescent="0.2">
      <c r="A1293" s="344">
        <v>44175</v>
      </c>
      <c r="B1293" s="333">
        <f t="shared" si="9"/>
        <v>314719.49</v>
      </c>
      <c r="C1293" s="485">
        <v>314519.49</v>
      </c>
      <c r="D1293" s="486">
        <v>200</v>
      </c>
    </row>
    <row r="1294" spans="1:4" x14ac:dyDescent="0.2">
      <c r="A1294" s="344">
        <v>44176</v>
      </c>
      <c r="B1294" s="333">
        <f t="shared" si="9"/>
        <v>317009.81</v>
      </c>
      <c r="C1294" s="485">
        <v>316809.81</v>
      </c>
      <c r="D1294" s="486">
        <v>200</v>
      </c>
    </row>
    <row r="1295" spans="1:4" x14ac:dyDescent="0.2">
      <c r="A1295" s="344">
        <v>44179</v>
      </c>
      <c r="B1295" s="333">
        <f t="shared" si="9"/>
        <v>316409.81</v>
      </c>
      <c r="C1295" s="485">
        <v>316209.81</v>
      </c>
      <c r="D1295" s="486">
        <v>200</v>
      </c>
    </row>
    <row r="1296" spans="1:4" x14ac:dyDescent="0.2">
      <c r="A1296" s="344">
        <v>44180</v>
      </c>
      <c r="B1296" s="333">
        <f t="shared" si="9"/>
        <v>316462.65000000002</v>
      </c>
      <c r="C1296" s="485">
        <v>316262.65000000002</v>
      </c>
      <c r="D1296" s="486">
        <v>200</v>
      </c>
    </row>
    <row r="1297" spans="1:4" x14ac:dyDescent="0.2">
      <c r="A1297" s="344">
        <v>44181</v>
      </c>
      <c r="B1297" s="333">
        <f t="shared" si="9"/>
        <v>337790.61</v>
      </c>
      <c r="C1297" s="485">
        <v>337590.61</v>
      </c>
      <c r="D1297" s="486">
        <v>200</v>
      </c>
    </row>
    <row r="1298" spans="1:4" x14ac:dyDescent="0.2">
      <c r="A1298" s="344">
        <v>44182</v>
      </c>
      <c r="B1298" s="333">
        <f t="shared" si="9"/>
        <v>337791</v>
      </c>
      <c r="C1298" s="485">
        <v>337591</v>
      </c>
      <c r="D1298" s="486">
        <v>200</v>
      </c>
    </row>
    <row r="1299" spans="1:4" x14ac:dyDescent="0.2">
      <c r="A1299" s="344">
        <v>44183</v>
      </c>
      <c r="B1299" s="333">
        <f t="shared" si="9"/>
        <v>337791</v>
      </c>
      <c r="C1299" s="485">
        <v>337591</v>
      </c>
      <c r="D1299" s="486">
        <v>200</v>
      </c>
    </row>
    <row r="1300" spans="1:4" x14ac:dyDescent="0.2">
      <c r="A1300" s="344">
        <v>44186</v>
      </c>
      <c r="B1300" s="333">
        <f t="shared" si="9"/>
        <v>304627.44</v>
      </c>
      <c r="C1300" s="485">
        <v>304427.44</v>
      </c>
      <c r="D1300" s="486">
        <v>200</v>
      </c>
    </row>
    <row r="1301" spans="1:4" x14ac:dyDescent="0.2">
      <c r="A1301" s="344">
        <v>44187</v>
      </c>
      <c r="B1301" s="333">
        <f t="shared" si="9"/>
        <v>304802.88</v>
      </c>
      <c r="C1301" s="485">
        <v>304602.88</v>
      </c>
      <c r="D1301" s="486">
        <v>200</v>
      </c>
    </row>
    <row r="1302" spans="1:4" x14ac:dyDescent="0.2">
      <c r="A1302" s="344">
        <v>44188</v>
      </c>
      <c r="B1302" s="333">
        <f t="shared" si="9"/>
        <v>304803</v>
      </c>
      <c r="C1302" s="485">
        <v>304603</v>
      </c>
      <c r="D1302" s="486">
        <v>200</v>
      </c>
    </row>
    <row r="1303" spans="1:4" x14ac:dyDescent="0.2">
      <c r="A1303" s="344">
        <v>44189</v>
      </c>
      <c r="B1303" s="333">
        <f t="shared" si="9"/>
        <v>338461.96</v>
      </c>
      <c r="C1303" s="485">
        <v>338261.96</v>
      </c>
      <c r="D1303" s="486">
        <v>200</v>
      </c>
    </row>
    <row r="1304" spans="1:4" x14ac:dyDescent="0.2">
      <c r="A1304" s="344">
        <v>44190</v>
      </c>
      <c r="B1304" s="333">
        <f t="shared" si="9"/>
        <v>338462</v>
      </c>
      <c r="C1304" s="485">
        <v>338262</v>
      </c>
      <c r="D1304" s="486">
        <v>200</v>
      </c>
    </row>
    <row r="1305" spans="1:4" x14ac:dyDescent="0.2">
      <c r="A1305" s="344">
        <v>44193</v>
      </c>
      <c r="B1305" s="333">
        <f t="shared" si="9"/>
        <v>373533.96</v>
      </c>
      <c r="C1305" s="485">
        <v>373333.96</v>
      </c>
      <c r="D1305" s="486">
        <v>200</v>
      </c>
    </row>
    <row r="1306" spans="1:4" x14ac:dyDescent="0.2">
      <c r="A1306" s="344">
        <v>44194</v>
      </c>
      <c r="B1306" s="333">
        <f t="shared" si="9"/>
        <v>373168.21</v>
      </c>
      <c r="C1306" s="485">
        <v>372968.21</v>
      </c>
      <c r="D1306" s="486">
        <v>200</v>
      </c>
    </row>
    <row r="1307" spans="1:4" x14ac:dyDescent="0.2">
      <c r="A1307" s="344">
        <v>44195</v>
      </c>
      <c r="B1307" s="333">
        <f t="shared" si="9"/>
        <v>375552.7</v>
      </c>
      <c r="C1307" s="485">
        <v>375352.7</v>
      </c>
      <c r="D1307" s="486">
        <v>200</v>
      </c>
    </row>
    <row r="1308" spans="1:4" x14ac:dyDescent="0.2">
      <c r="A1308" s="344">
        <v>44196</v>
      </c>
      <c r="B1308" s="333">
        <f t="shared" si="9"/>
        <v>397543.49</v>
      </c>
      <c r="C1308" s="485">
        <v>397343.49</v>
      </c>
      <c r="D1308" s="486">
        <v>200</v>
      </c>
    </row>
    <row r="1309" spans="1:4" x14ac:dyDescent="0.2">
      <c r="A1309" s="344">
        <v>44197</v>
      </c>
      <c r="B1309" s="333">
        <f t="shared" si="9"/>
        <v>397543</v>
      </c>
      <c r="C1309" s="485">
        <v>397343</v>
      </c>
      <c r="D1309" s="486">
        <v>200</v>
      </c>
    </row>
    <row r="1310" spans="1:4" x14ac:dyDescent="0.2">
      <c r="A1310" s="344">
        <v>44200</v>
      </c>
      <c r="B1310" s="333">
        <f t="shared" si="9"/>
        <v>380539.51</v>
      </c>
      <c r="C1310" s="485">
        <v>380339.51</v>
      </c>
      <c r="D1310" s="486">
        <v>200</v>
      </c>
    </row>
    <row r="1311" spans="1:4" x14ac:dyDescent="0.2">
      <c r="A1311" s="344">
        <v>44201</v>
      </c>
      <c r="B1311" s="333">
        <f t="shared" si="9"/>
        <v>349091.91</v>
      </c>
      <c r="C1311" s="485">
        <v>348891.91</v>
      </c>
      <c r="D1311" s="486">
        <v>200</v>
      </c>
    </row>
    <row r="1312" spans="1:4" x14ac:dyDescent="0.2">
      <c r="A1312" s="344">
        <v>44202</v>
      </c>
      <c r="B1312" s="333">
        <f t="shared" si="9"/>
        <v>349092</v>
      </c>
      <c r="C1312" s="485">
        <v>348892</v>
      </c>
      <c r="D1312" s="486">
        <v>200</v>
      </c>
    </row>
    <row r="1313" spans="1:4" x14ac:dyDescent="0.2">
      <c r="A1313" s="344">
        <v>44203</v>
      </c>
      <c r="B1313" s="333">
        <f t="shared" si="9"/>
        <v>409281.75</v>
      </c>
      <c r="C1313" s="485">
        <v>409081.75</v>
      </c>
      <c r="D1313" s="486">
        <v>200</v>
      </c>
    </row>
    <row r="1314" spans="1:4" x14ac:dyDescent="0.2">
      <c r="A1314" s="344">
        <v>44204</v>
      </c>
      <c r="B1314" s="333">
        <f t="shared" si="9"/>
        <v>408971.69</v>
      </c>
      <c r="C1314" s="485">
        <v>408771.69</v>
      </c>
      <c r="D1314" s="486">
        <v>200</v>
      </c>
    </row>
    <row r="1315" spans="1:4" x14ac:dyDescent="0.2">
      <c r="A1315" s="344">
        <v>44207</v>
      </c>
      <c r="B1315" s="333">
        <f t="shared" si="9"/>
        <v>408739.83</v>
      </c>
      <c r="C1315" s="485">
        <v>408539.83</v>
      </c>
      <c r="D1315" s="486">
        <v>200</v>
      </c>
    </row>
    <row r="1316" spans="1:4" x14ac:dyDescent="0.2">
      <c r="A1316" s="344">
        <v>44208</v>
      </c>
      <c r="B1316" s="333">
        <f t="shared" si="9"/>
        <v>401650.97</v>
      </c>
      <c r="C1316" s="485">
        <v>401450.97</v>
      </c>
      <c r="D1316" s="486">
        <v>200</v>
      </c>
    </row>
    <row r="1317" spans="1:4" x14ac:dyDescent="0.2">
      <c r="A1317" s="344">
        <v>44209</v>
      </c>
      <c r="B1317" s="333">
        <f t="shared" si="9"/>
        <v>413709.67</v>
      </c>
      <c r="C1317" s="485">
        <v>413509.67</v>
      </c>
      <c r="D1317" s="486">
        <v>200</v>
      </c>
    </row>
    <row r="1318" spans="1:4" x14ac:dyDescent="0.2">
      <c r="A1318" s="344">
        <v>44210</v>
      </c>
      <c r="B1318" s="333">
        <f t="shared" si="9"/>
        <v>412321.56</v>
      </c>
      <c r="C1318" s="485">
        <v>412121.56</v>
      </c>
      <c r="D1318" s="486">
        <v>200</v>
      </c>
    </row>
    <row r="1319" spans="1:4" x14ac:dyDescent="0.2">
      <c r="A1319" s="344">
        <v>44211</v>
      </c>
      <c r="B1319" s="333">
        <f t="shared" si="9"/>
        <v>412384.91</v>
      </c>
      <c r="C1319" s="485">
        <v>412184.91</v>
      </c>
      <c r="D1319" s="486">
        <v>200</v>
      </c>
    </row>
    <row r="1320" spans="1:4" x14ac:dyDescent="0.2">
      <c r="A1320" s="344">
        <v>44214</v>
      </c>
      <c r="B1320" s="333">
        <f t="shared" si="9"/>
        <v>412385</v>
      </c>
      <c r="C1320" s="485">
        <v>412185</v>
      </c>
      <c r="D1320" s="486">
        <v>200</v>
      </c>
    </row>
    <row r="1321" spans="1:4" x14ac:dyDescent="0.2">
      <c r="A1321" s="344">
        <v>44215</v>
      </c>
      <c r="B1321" s="333">
        <f t="shared" si="9"/>
        <v>417699.08</v>
      </c>
      <c r="C1321" s="485">
        <v>417499.08</v>
      </c>
      <c r="D1321" s="486">
        <v>200</v>
      </c>
    </row>
    <row r="1322" spans="1:4" x14ac:dyDescent="0.2">
      <c r="A1322" s="344">
        <v>44216</v>
      </c>
      <c r="B1322" s="370">
        <f t="shared" si="9"/>
        <v>417952.08</v>
      </c>
      <c r="C1322" s="485">
        <v>417752.08</v>
      </c>
      <c r="D1322" s="486">
        <v>200</v>
      </c>
    </row>
    <row r="1323" spans="1:4" x14ac:dyDescent="0.2">
      <c r="A1323" s="344">
        <v>44217</v>
      </c>
      <c r="B1323" s="333">
        <f t="shared" si="9"/>
        <v>402996.41</v>
      </c>
      <c r="C1323" s="485">
        <v>402796.41</v>
      </c>
      <c r="D1323" s="486">
        <v>200</v>
      </c>
    </row>
    <row r="1324" spans="1:4" x14ac:dyDescent="0.2">
      <c r="A1324" s="344">
        <v>44218</v>
      </c>
      <c r="B1324" s="333">
        <f t="shared" si="9"/>
        <v>402527.5</v>
      </c>
      <c r="C1324" s="485">
        <v>402327.5</v>
      </c>
      <c r="D1324" s="486">
        <v>200</v>
      </c>
    </row>
    <row r="1325" spans="1:4" x14ac:dyDescent="0.2">
      <c r="A1325" s="344">
        <v>44221</v>
      </c>
      <c r="B1325" s="333">
        <f t="shared" si="9"/>
        <v>402528</v>
      </c>
      <c r="C1325" s="485">
        <v>402328</v>
      </c>
      <c r="D1325" s="486">
        <v>200</v>
      </c>
    </row>
    <row r="1326" spans="1:4" x14ac:dyDescent="0.2">
      <c r="A1326" s="344">
        <v>44222</v>
      </c>
      <c r="B1326" s="333">
        <f t="shared" si="9"/>
        <v>399742.18</v>
      </c>
      <c r="C1326" s="485">
        <v>399542.18</v>
      </c>
      <c r="D1326" s="486">
        <v>200</v>
      </c>
    </row>
    <row r="1327" spans="1:4" x14ac:dyDescent="0.2">
      <c r="A1327" s="344">
        <v>44223</v>
      </c>
      <c r="B1327" s="333">
        <f t="shared" ref="B1327:B1390" si="10">C1327+D1327</f>
        <v>399886.18</v>
      </c>
      <c r="C1327" s="485">
        <v>399686.18</v>
      </c>
      <c r="D1327" s="486">
        <v>200</v>
      </c>
    </row>
    <row r="1328" spans="1:4" x14ac:dyDescent="0.2">
      <c r="A1328" s="344">
        <v>44224</v>
      </c>
      <c r="B1328" s="333">
        <f t="shared" si="10"/>
        <v>393628.47</v>
      </c>
      <c r="C1328" s="485">
        <v>393428.47</v>
      </c>
      <c r="D1328" s="486">
        <v>200</v>
      </c>
    </row>
    <row r="1329" spans="1:4" x14ac:dyDescent="0.2">
      <c r="A1329" s="344">
        <v>44225</v>
      </c>
      <c r="B1329" s="333">
        <f t="shared" si="10"/>
        <v>393628</v>
      </c>
      <c r="C1329" s="485">
        <v>393428</v>
      </c>
      <c r="D1329" s="486">
        <v>200</v>
      </c>
    </row>
    <row r="1330" spans="1:4" x14ac:dyDescent="0.2">
      <c r="A1330" s="344">
        <v>44228</v>
      </c>
      <c r="B1330" s="333">
        <f t="shared" si="10"/>
        <v>393628</v>
      </c>
      <c r="C1330" s="485">
        <v>393428</v>
      </c>
      <c r="D1330" s="486">
        <v>200</v>
      </c>
    </row>
    <row r="1331" spans="1:4" x14ac:dyDescent="0.2">
      <c r="A1331" s="344">
        <v>44229</v>
      </c>
      <c r="B1331" s="333">
        <f t="shared" si="10"/>
        <v>359326.4</v>
      </c>
      <c r="C1331" s="485">
        <v>359126.4</v>
      </c>
      <c r="D1331" s="486">
        <v>200</v>
      </c>
    </row>
    <row r="1332" spans="1:4" x14ac:dyDescent="0.2">
      <c r="A1332" s="344">
        <v>44230</v>
      </c>
      <c r="B1332" s="333">
        <f t="shared" si="10"/>
        <v>359521.7</v>
      </c>
      <c r="C1332" s="485">
        <v>359321.7</v>
      </c>
      <c r="D1332" s="486">
        <v>200</v>
      </c>
    </row>
    <row r="1333" spans="1:4" x14ac:dyDescent="0.2">
      <c r="A1333" s="344">
        <v>44231</v>
      </c>
      <c r="B1333" s="333">
        <f t="shared" si="10"/>
        <v>359522</v>
      </c>
      <c r="C1333" s="485">
        <v>359322</v>
      </c>
      <c r="D1333" s="486">
        <v>200</v>
      </c>
    </row>
    <row r="1334" spans="1:4" x14ac:dyDescent="0.2">
      <c r="A1334" s="344">
        <v>44232</v>
      </c>
      <c r="B1334" s="333">
        <f t="shared" si="10"/>
        <v>347055.28</v>
      </c>
      <c r="C1334" s="485">
        <v>346855.28</v>
      </c>
      <c r="D1334" s="486">
        <v>200</v>
      </c>
    </row>
    <row r="1335" spans="1:4" x14ac:dyDescent="0.2">
      <c r="A1335" s="344">
        <v>44235</v>
      </c>
      <c r="B1335" s="333">
        <f t="shared" si="10"/>
        <v>369629.13</v>
      </c>
      <c r="C1335" s="485">
        <v>369429.13</v>
      </c>
      <c r="D1335" s="486">
        <v>200</v>
      </c>
    </row>
    <row r="1336" spans="1:4" x14ac:dyDescent="0.2">
      <c r="A1336" s="344">
        <v>44236</v>
      </c>
      <c r="B1336" s="333">
        <f t="shared" si="10"/>
        <v>382278.77</v>
      </c>
      <c r="C1336" s="485">
        <v>382078.77</v>
      </c>
      <c r="D1336" s="486">
        <v>200</v>
      </c>
    </row>
    <row r="1337" spans="1:4" x14ac:dyDescent="0.2">
      <c r="A1337" s="344">
        <v>44237</v>
      </c>
      <c r="B1337" s="333">
        <f t="shared" si="10"/>
        <v>382279</v>
      </c>
      <c r="C1337" s="485">
        <v>382079</v>
      </c>
      <c r="D1337" s="486">
        <v>200</v>
      </c>
    </row>
    <row r="1338" spans="1:4" x14ac:dyDescent="0.2">
      <c r="A1338" s="344">
        <v>44238</v>
      </c>
      <c r="B1338" s="333">
        <f t="shared" si="10"/>
        <v>378310.6</v>
      </c>
      <c r="C1338" s="485">
        <v>378110.6</v>
      </c>
      <c r="D1338" s="486">
        <v>200</v>
      </c>
    </row>
    <row r="1339" spans="1:4" x14ac:dyDescent="0.2">
      <c r="A1339" s="344">
        <v>44239</v>
      </c>
      <c r="B1339" s="333">
        <f t="shared" si="10"/>
        <v>378369.91</v>
      </c>
      <c r="C1339" s="485">
        <v>378169.91</v>
      </c>
      <c r="D1339" s="486">
        <v>200</v>
      </c>
    </row>
    <row r="1340" spans="1:4" x14ac:dyDescent="0.2">
      <c r="A1340" s="344">
        <v>44242</v>
      </c>
      <c r="B1340" s="333">
        <f t="shared" si="10"/>
        <v>378370</v>
      </c>
      <c r="C1340" s="485">
        <v>378170</v>
      </c>
      <c r="D1340" s="486">
        <v>200</v>
      </c>
    </row>
    <row r="1341" spans="1:4" x14ac:dyDescent="0.2">
      <c r="A1341" s="344">
        <v>44243</v>
      </c>
      <c r="B1341" s="370">
        <f t="shared" si="10"/>
        <v>345442.81</v>
      </c>
      <c r="C1341" s="485">
        <v>345242.81</v>
      </c>
      <c r="D1341" s="486">
        <v>200</v>
      </c>
    </row>
    <row r="1342" spans="1:4" x14ac:dyDescent="0.2">
      <c r="A1342" s="344">
        <v>44244</v>
      </c>
      <c r="B1342" s="333">
        <f t="shared" si="10"/>
        <v>345443</v>
      </c>
      <c r="C1342" s="485">
        <v>345243</v>
      </c>
      <c r="D1342" s="486">
        <v>200</v>
      </c>
    </row>
    <row r="1343" spans="1:4" x14ac:dyDescent="0.2">
      <c r="A1343" s="344">
        <v>44245</v>
      </c>
      <c r="B1343" s="333">
        <f t="shared" si="10"/>
        <v>345443</v>
      </c>
      <c r="C1343" s="485">
        <v>345243</v>
      </c>
      <c r="D1343" s="486">
        <v>200</v>
      </c>
    </row>
    <row r="1344" spans="1:4" x14ac:dyDescent="0.2">
      <c r="A1344" s="344">
        <v>44246</v>
      </c>
      <c r="B1344" s="333">
        <f t="shared" si="10"/>
        <v>364859.97</v>
      </c>
      <c r="C1344" s="485">
        <v>364659.97</v>
      </c>
      <c r="D1344" s="486">
        <v>200</v>
      </c>
    </row>
    <row r="1345" spans="1:4" x14ac:dyDescent="0.2">
      <c r="A1345" s="344">
        <v>44249</v>
      </c>
      <c r="B1345" s="333">
        <f t="shared" si="10"/>
        <v>368452.97</v>
      </c>
      <c r="C1345" s="485">
        <v>368252.97</v>
      </c>
      <c r="D1345" s="486">
        <v>200</v>
      </c>
    </row>
    <row r="1346" spans="1:4" x14ac:dyDescent="0.2">
      <c r="A1346" s="344">
        <v>44250</v>
      </c>
      <c r="B1346" s="333">
        <f t="shared" si="10"/>
        <v>368407.65</v>
      </c>
      <c r="C1346" s="485">
        <v>368207.65</v>
      </c>
      <c r="D1346" s="486">
        <v>200</v>
      </c>
    </row>
    <row r="1347" spans="1:4" x14ac:dyDescent="0.2">
      <c r="A1347" s="344">
        <v>44251</v>
      </c>
      <c r="B1347" s="333">
        <f t="shared" si="10"/>
        <v>373249.01</v>
      </c>
      <c r="C1347" s="485">
        <v>373049.01</v>
      </c>
      <c r="D1347" s="486">
        <v>200</v>
      </c>
    </row>
    <row r="1348" spans="1:4" x14ac:dyDescent="0.2">
      <c r="A1348" s="344">
        <v>44252</v>
      </c>
      <c r="B1348" s="333">
        <f t="shared" si="10"/>
        <v>373249.01</v>
      </c>
      <c r="C1348" s="485">
        <v>373049.01</v>
      </c>
      <c r="D1348" s="486">
        <v>200</v>
      </c>
    </row>
    <row r="1349" spans="1:4" x14ac:dyDescent="0.2">
      <c r="A1349" s="344">
        <v>44253</v>
      </c>
      <c r="B1349" s="333">
        <f t="shared" si="10"/>
        <v>404359.4</v>
      </c>
      <c r="C1349" s="485">
        <v>404159.4</v>
      </c>
      <c r="D1349" s="486">
        <v>200</v>
      </c>
    </row>
    <row r="1350" spans="1:4" x14ac:dyDescent="0.2">
      <c r="A1350" s="344">
        <v>44256</v>
      </c>
      <c r="B1350" s="333">
        <f t="shared" si="10"/>
        <v>398860.85</v>
      </c>
      <c r="C1350" s="485">
        <v>398660.85</v>
      </c>
      <c r="D1350" s="486">
        <v>200</v>
      </c>
    </row>
    <row r="1351" spans="1:4" x14ac:dyDescent="0.2">
      <c r="A1351" s="344">
        <v>44257</v>
      </c>
      <c r="B1351" s="333">
        <f t="shared" si="10"/>
        <v>365079.52</v>
      </c>
      <c r="C1351" s="485">
        <v>364879.52</v>
      </c>
      <c r="D1351" s="486">
        <v>200</v>
      </c>
    </row>
    <row r="1352" spans="1:4" x14ac:dyDescent="0.2">
      <c r="A1352" s="344">
        <v>44258</v>
      </c>
      <c r="B1352" s="333">
        <f t="shared" si="10"/>
        <v>406124.9</v>
      </c>
      <c r="C1352" s="485">
        <v>405924.9</v>
      </c>
      <c r="D1352" s="486">
        <v>200</v>
      </c>
    </row>
    <row r="1353" spans="1:4" x14ac:dyDescent="0.2">
      <c r="A1353" s="344">
        <v>44259</v>
      </c>
      <c r="B1353" s="333">
        <f t="shared" si="10"/>
        <v>409953.76</v>
      </c>
      <c r="C1353" s="485">
        <v>409753.76</v>
      </c>
      <c r="D1353" s="486">
        <v>200</v>
      </c>
    </row>
    <row r="1354" spans="1:4" x14ac:dyDescent="0.2">
      <c r="A1354" s="344">
        <v>44260</v>
      </c>
      <c r="B1354" s="333">
        <f t="shared" si="10"/>
        <v>400983.29</v>
      </c>
      <c r="C1354" s="485">
        <v>400783.29</v>
      </c>
      <c r="D1354" s="486">
        <v>200</v>
      </c>
    </row>
    <row r="1355" spans="1:4" x14ac:dyDescent="0.2">
      <c r="A1355" s="344">
        <v>44263</v>
      </c>
      <c r="B1355" s="333">
        <f t="shared" si="10"/>
        <v>400983</v>
      </c>
      <c r="C1355" s="485">
        <v>400783</v>
      </c>
      <c r="D1355" s="486">
        <v>200</v>
      </c>
    </row>
    <row r="1356" spans="1:4" x14ac:dyDescent="0.2">
      <c r="A1356" s="344">
        <v>44264</v>
      </c>
      <c r="B1356" s="333">
        <f t="shared" si="10"/>
        <v>399908.16</v>
      </c>
      <c r="C1356" s="485">
        <v>399708.15999999997</v>
      </c>
      <c r="D1356" s="486">
        <v>200</v>
      </c>
    </row>
    <row r="1357" spans="1:4" x14ac:dyDescent="0.2">
      <c r="A1357" s="344">
        <v>44265</v>
      </c>
      <c r="B1357" s="333">
        <f t="shared" si="10"/>
        <v>399908</v>
      </c>
      <c r="C1357" s="485">
        <v>399708</v>
      </c>
      <c r="D1357" s="486">
        <v>200</v>
      </c>
    </row>
    <row r="1358" spans="1:4" x14ac:dyDescent="0.2">
      <c r="A1358" s="344">
        <v>44266</v>
      </c>
      <c r="B1358" s="333">
        <f t="shared" si="10"/>
        <v>399908</v>
      </c>
      <c r="C1358" s="485">
        <v>399708</v>
      </c>
      <c r="D1358" s="486">
        <v>200</v>
      </c>
    </row>
    <row r="1359" spans="1:4" x14ac:dyDescent="0.2">
      <c r="A1359" s="344">
        <v>44267</v>
      </c>
      <c r="B1359" s="333">
        <f t="shared" si="10"/>
        <v>399766.22</v>
      </c>
      <c r="C1359" s="485">
        <v>399566.22</v>
      </c>
      <c r="D1359" s="486">
        <v>200</v>
      </c>
    </row>
    <row r="1360" spans="1:4" x14ac:dyDescent="0.2">
      <c r="A1360" s="344">
        <v>44270</v>
      </c>
      <c r="B1360" s="333">
        <f t="shared" si="10"/>
        <v>366689.23</v>
      </c>
      <c r="C1360" s="485">
        <v>366489.23</v>
      </c>
      <c r="D1360" s="486">
        <v>200</v>
      </c>
    </row>
    <row r="1361" spans="1:4" x14ac:dyDescent="0.2">
      <c r="A1361" s="344">
        <v>44271</v>
      </c>
      <c r="B1361" s="333">
        <f t="shared" si="10"/>
        <v>392136.38</v>
      </c>
      <c r="C1361" s="485">
        <v>391936.38</v>
      </c>
      <c r="D1361" s="486">
        <v>200</v>
      </c>
    </row>
    <row r="1362" spans="1:4" x14ac:dyDescent="0.2">
      <c r="A1362" s="344">
        <v>44272</v>
      </c>
      <c r="B1362" s="333">
        <f t="shared" si="10"/>
        <v>414771.89</v>
      </c>
      <c r="C1362" s="485">
        <v>414571.89</v>
      </c>
      <c r="D1362" s="486">
        <v>200</v>
      </c>
    </row>
    <row r="1363" spans="1:4" x14ac:dyDescent="0.2">
      <c r="A1363" s="344">
        <v>44273</v>
      </c>
      <c r="B1363" s="333">
        <f t="shared" si="10"/>
        <v>442093.39</v>
      </c>
      <c r="C1363" s="485">
        <v>441893.39</v>
      </c>
      <c r="D1363" s="486">
        <v>200</v>
      </c>
    </row>
    <row r="1364" spans="1:4" x14ac:dyDescent="0.2">
      <c r="A1364" s="344">
        <v>44274</v>
      </c>
      <c r="B1364" s="333">
        <f t="shared" si="10"/>
        <v>439966.74</v>
      </c>
      <c r="C1364" s="485">
        <v>439766.74</v>
      </c>
      <c r="D1364" s="486">
        <v>200</v>
      </c>
    </row>
    <row r="1365" spans="1:4" x14ac:dyDescent="0.2">
      <c r="A1365" s="344">
        <v>44277</v>
      </c>
      <c r="B1365" s="333">
        <f t="shared" si="10"/>
        <v>439966.74</v>
      </c>
      <c r="C1365" s="485">
        <v>439766.74</v>
      </c>
      <c r="D1365" s="486">
        <v>200</v>
      </c>
    </row>
    <row r="1366" spans="1:4" x14ac:dyDescent="0.2">
      <c r="A1366" s="344">
        <v>44278</v>
      </c>
      <c r="B1366" s="333">
        <f t="shared" si="10"/>
        <v>439966.74</v>
      </c>
      <c r="C1366" s="485">
        <v>439766.74</v>
      </c>
      <c r="D1366" s="486">
        <v>200</v>
      </c>
    </row>
    <row r="1367" spans="1:4" x14ac:dyDescent="0.2">
      <c r="A1367" s="344">
        <v>44279</v>
      </c>
      <c r="B1367" s="333">
        <f t="shared" si="10"/>
        <v>440251.74</v>
      </c>
      <c r="C1367" s="485">
        <v>440051.74</v>
      </c>
      <c r="D1367" s="486">
        <v>200</v>
      </c>
    </row>
    <row r="1368" spans="1:4" x14ac:dyDescent="0.2">
      <c r="A1368" s="344">
        <v>44280</v>
      </c>
      <c r="B1368" s="333">
        <f t="shared" si="10"/>
        <v>440252</v>
      </c>
      <c r="C1368" s="485">
        <v>440052</v>
      </c>
      <c r="D1368" s="486">
        <v>200</v>
      </c>
    </row>
    <row r="1369" spans="1:4" x14ac:dyDescent="0.2">
      <c r="A1369" s="344">
        <v>44281</v>
      </c>
      <c r="B1369" s="333">
        <f t="shared" si="10"/>
        <v>424641.64</v>
      </c>
      <c r="C1369" s="485">
        <v>424441.64</v>
      </c>
      <c r="D1369" s="486">
        <v>200</v>
      </c>
    </row>
    <row r="1370" spans="1:4" x14ac:dyDescent="0.2">
      <c r="A1370" s="344">
        <v>44284</v>
      </c>
      <c r="B1370" s="333">
        <f t="shared" si="10"/>
        <v>527059.86</v>
      </c>
      <c r="C1370" s="485">
        <v>526859.86</v>
      </c>
      <c r="D1370" s="486">
        <v>200</v>
      </c>
    </row>
    <row r="1371" spans="1:4" x14ac:dyDescent="0.2">
      <c r="A1371" s="344">
        <v>44285</v>
      </c>
      <c r="B1371" s="333">
        <f t="shared" si="10"/>
        <v>552226.89</v>
      </c>
      <c r="C1371" s="485">
        <v>552026.89</v>
      </c>
      <c r="D1371" s="486">
        <v>200</v>
      </c>
    </row>
    <row r="1372" spans="1:4" x14ac:dyDescent="0.2">
      <c r="A1372" s="344">
        <v>44286</v>
      </c>
      <c r="B1372" s="333">
        <f t="shared" si="10"/>
        <v>552439.89</v>
      </c>
      <c r="C1372" s="485">
        <v>552239.89</v>
      </c>
      <c r="D1372" s="486">
        <v>200</v>
      </c>
    </row>
    <row r="1373" spans="1:4" x14ac:dyDescent="0.2">
      <c r="A1373" s="344">
        <v>44287</v>
      </c>
      <c r="B1373" s="333">
        <f t="shared" si="10"/>
        <v>552439.89</v>
      </c>
      <c r="C1373" s="485">
        <v>552239.89</v>
      </c>
      <c r="D1373" s="486">
        <v>200</v>
      </c>
    </row>
    <row r="1374" spans="1:4" x14ac:dyDescent="0.2">
      <c r="A1374" s="344">
        <v>44288</v>
      </c>
      <c r="B1374" s="333">
        <f t="shared" si="10"/>
        <v>552129.82999999996</v>
      </c>
      <c r="C1374" s="485">
        <v>551929.82999999996</v>
      </c>
      <c r="D1374" s="486">
        <v>200</v>
      </c>
    </row>
    <row r="1375" spans="1:4" x14ac:dyDescent="0.2">
      <c r="A1375" s="344">
        <v>44291</v>
      </c>
      <c r="B1375" s="333">
        <f t="shared" si="10"/>
        <v>552130</v>
      </c>
      <c r="C1375" s="485">
        <v>551930</v>
      </c>
      <c r="D1375" s="486">
        <v>200</v>
      </c>
    </row>
    <row r="1376" spans="1:4" x14ac:dyDescent="0.2">
      <c r="A1376" s="344">
        <v>44292</v>
      </c>
      <c r="B1376" s="333">
        <f t="shared" si="10"/>
        <v>552377.82999999996</v>
      </c>
      <c r="C1376" s="485">
        <v>552177.82999999996</v>
      </c>
      <c r="D1376" s="486">
        <v>200</v>
      </c>
    </row>
    <row r="1377" spans="1:4" x14ac:dyDescent="0.2">
      <c r="A1377" s="344">
        <v>44293</v>
      </c>
      <c r="B1377" s="333">
        <f t="shared" si="10"/>
        <v>552378</v>
      </c>
      <c r="C1377" s="485">
        <v>552178</v>
      </c>
      <c r="D1377" s="486">
        <v>200</v>
      </c>
    </row>
    <row r="1378" spans="1:4" x14ac:dyDescent="0.2">
      <c r="A1378" s="344">
        <v>44294</v>
      </c>
      <c r="B1378" s="370">
        <f t="shared" si="10"/>
        <v>553005.37</v>
      </c>
      <c r="C1378" s="485">
        <v>552805.37</v>
      </c>
      <c r="D1378" s="486">
        <v>200</v>
      </c>
    </row>
    <row r="1379" spans="1:4" x14ac:dyDescent="0.2">
      <c r="A1379" s="344">
        <v>44295</v>
      </c>
      <c r="B1379" s="333">
        <f t="shared" si="10"/>
        <v>553005</v>
      </c>
      <c r="C1379" s="485">
        <v>552805</v>
      </c>
      <c r="D1379" s="486">
        <v>200</v>
      </c>
    </row>
    <row r="1380" spans="1:4" x14ac:dyDescent="0.2">
      <c r="A1380" s="344">
        <v>44298</v>
      </c>
      <c r="B1380" s="333">
        <f t="shared" si="10"/>
        <v>536104.62</v>
      </c>
      <c r="C1380" s="485">
        <v>535904.62</v>
      </c>
      <c r="D1380" s="486">
        <v>200</v>
      </c>
    </row>
    <row r="1381" spans="1:4" x14ac:dyDescent="0.2">
      <c r="A1381" s="344">
        <v>44299</v>
      </c>
      <c r="B1381" s="333">
        <f t="shared" si="10"/>
        <v>503475.62</v>
      </c>
      <c r="C1381" s="485">
        <v>503275.62</v>
      </c>
      <c r="D1381" s="486">
        <v>200</v>
      </c>
    </row>
    <row r="1382" spans="1:4" x14ac:dyDescent="0.2">
      <c r="A1382" s="344">
        <v>44300</v>
      </c>
      <c r="B1382" s="333">
        <f t="shared" si="10"/>
        <v>515272.72</v>
      </c>
      <c r="C1382" s="485">
        <v>515072.72</v>
      </c>
      <c r="D1382" s="486">
        <v>200</v>
      </c>
    </row>
    <row r="1383" spans="1:4" x14ac:dyDescent="0.2">
      <c r="A1383" s="344">
        <v>44301</v>
      </c>
      <c r="B1383" s="333">
        <f t="shared" si="10"/>
        <v>519939.48</v>
      </c>
      <c r="C1383" s="485">
        <v>519739.48</v>
      </c>
      <c r="D1383" s="486">
        <v>200</v>
      </c>
    </row>
    <row r="1384" spans="1:4" x14ac:dyDescent="0.2">
      <c r="A1384" s="344">
        <v>44302</v>
      </c>
      <c r="B1384" s="333">
        <f t="shared" si="10"/>
        <v>518569.61</v>
      </c>
      <c r="C1384" s="485">
        <v>518369.61</v>
      </c>
      <c r="D1384" s="486">
        <v>200</v>
      </c>
    </row>
    <row r="1385" spans="1:4" x14ac:dyDescent="0.2">
      <c r="A1385" s="344">
        <v>44305</v>
      </c>
      <c r="B1385" s="333">
        <f t="shared" si="10"/>
        <v>518755.61</v>
      </c>
      <c r="C1385" s="485">
        <v>518555.61</v>
      </c>
      <c r="D1385" s="486">
        <v>200</v>
      </c>
    </row>
    <row r="1386" spans="1:4" x14ac:dyDescent="0.2">
      <c r="A1386" s="344">
        <v>44306</v>
      </c>
      <c r="B1386" s="333">
        <f t="shared" si="10"/>
        <v>518755.61</v>
      </c>
      <c r="C1386" s="485">
        <v>518555.61</v>
      </c>
      <c r="D1386" s="486">
        <v>200</v>
      </c>
    </row>
    <row r="1387" spans="1:4" x14ac:dyDescent="0.2">
      <c r="A1387" s="344">
        <v>44307</v>
      </c>
      <c r="B1387" s="333">
        <f t="shared" si="10"/>
        <v>518755.61</v>
      </c>
      <c r="C1387" s="485">
        <v>518555.61</v>
      </c>
      <c r="D1387" s="486">
        <v>200</v>
      </c>
    </row>
    <row r="1388" spans="1:4" x14ac:dyDescent="0.2">
      <c r="A1388" s="344">
        <v>44308</v>
      </c>
      <c r="B1388" s="333">
        <f t="shared" si="10"/>
        <v>507528.36</v>
      </c>
      <c r="C1388" s="485">
        <v>507328.36</v>
      </c>
      <c r="D1388" s="486">
        <v>200</v>
      </c>
    </row>
    <row r="1389" spans="1:4" x14ac:dyDescent="0.2">
      <c r="A1389" s="344">
        <v>44309</v>
      </c>
      <c r="B1389" s="333">
        <f t="shared" si="10"/>
        <v>506769.51</v>
      </c>
      <c r="C1389" s="485">
        <v>506569.51</v>
      </c>
      <c r="D1389" s="486">
        <v>200</v>
      </c>
    </row>
    <row r="1390" spans="1:4" x14ac:dyDescent="0.2">
      <c r="A1390" s="344">
        <v>44312</v>
      </c>
      <c r="B1390" s="333">
        <f t="shared" si="10"/>
        <v>506770</v>
      </c>
      <c r="C1390" s="485">
        <v>506570</v>
      </c>
      <c r="D1390" s="486">
        <v>200</v>
      </c>
    </row>
    <row r="1391" spans="1:4" x14ac:dyDescent="0.2">
      <c r="A1391" s="344">
        <v>44313</v>
      </c>
      <c r="B1391" s="333">
        <f t="shared" ref="B1391:B1454" si="11">C1391+D1391</f>
        <v>473061.43</v>
      </c>
      <c r="C1391" s="485">
        <v>472861.43</v>
      </c>
      <c r="D1391" s="486">
        <v>200</v>
      </c>
    </row>
    <row r="1392" spans="1:4" x14ac:dyDescent="0.2">
      <c r="A1392" s="344">
        <v>44314</v>
      </c>
      <c r="B1392" s="333">
        <f t="shared" si="11"/>
        <v>479261.62</v>
      </c>
      <c r="C1392" s="485">
        <v>479061.62</v>
      </c>
      <c r="D1392" s="486">
        <v>200</v>
      </c>
    </row>
    <row r="1393" spans="1:4" x14ac:dyDescent="0.2">
      <c r="A1393" s="344">
        <v>44315</v>
      </c>
      <c r="B1393" s="333">
        <f t="shared" si="11"/>
        <v>478222.46</v>
      </c>
      <c r="C1393" s="485">
        <v>478022.46</v>
      </c>
      <c r="D1393" s="486">
        <v>200</v>
      </c>
    </row>
    <row r="1394" spans="1:4" x14ac:dyDescent="0.2">
      <c r="A1394" s="344">
        <v>44316</v>
      </c>
      <c r="B1394" s="333">
        <f t="shared" si="11"/>
        <v>477922.01</v>
      </c>
      <c r="C1394" s="485">
        <v>477722.01</v>
      </c>
      <c r="D1394" s="486">
        <v>200</v>
      </c>
    </row>
    <row r="1395" spans="1:4" x14ac:dyDescent="0.2">
      <c r="A1395" s="344">
        <v>44319</v>
      </c>
      <c r="B1395" s="333">
        <f t="shared" si="11"/>
        <v>477922.01</v>
      </c>
      <c r="C1395" s="485">
        <v>477722.01</v>
      </c>
      <c r="D1395" s="486">
        <v>200</v>
      </c>
    </row>
    <row r="1396" spans="1:4" x14ac:dyDescent="0.2">
      <c r="A1396" s="344">
        <v>44320</v>
      </c>
      <c r="B1396" s="333">
        <f t="shared" si="11"/>
        <v>477922.01</v>
      </c>
      <c r="C1396" s="485">
        <v>477722.01</v>
      </c>
      <c r="D1396" s="486">
        <v>200</v>
      </c>
    </row>
    <row r="1397" spans="1:4" x14ac:dyDescent="0.2">
      <c r="A1397" s="344">
        <v>44321</v>
      </c>
      <c r="B1397" s="333">
        <f t="shared" si="11"/>
        <v>477922.01</v>
      </c>
      <c r="C1397" s="485">
        <v>477722.01</v>
      </c>
      <c r="D1397" s="486">
        <v>200</v>
      </c>
    </row>
    <row r="1398" spans="1:4" x14ac:dyDescent="0.2">
      <c r="A1398" s="344">
        <v>44322</v>
      </c>
      <c r="B1398" s="333">
        <f t="shared" si="11"/>
        <v>477922.01</v>
      </c>
      <c r="C1398" s="485">
        <v>477722.01</v>
      </c>
      <c r="D1398" s="486">
        <v>200</v>
      </c>
    </row>
    <row r="1399" spans="1:4" x14ac:dyDescent="0.2">
      <c r="A1399" s="344">
        <v>44323</v>
      </c>
      <c r="B1399" s="333">
        <f t="shared" si="11"/>
        <v>463576.89</v>
      </c>
      <c r="C1399" s="485">
        <v>463376.89</v>
      </c>
      <c r="D1399" s="486">
        <v>200</v>
      </c>
    </row>
    <row r="1400" spans="1:4" x14ac:dyDescent="0.2">
      <c r="A1400" s="344">
        <v>44326</v>
      </c>
      <c r="B1400" s="333">
        <f t="shared" si="11"/>
        <v>473954.09</v>
      </c>
      <c r="C1400" s="485">
        <v>473754.09</v>
      </c>
      <c r="D1400" s="486">
        <v>200</v>
      </c>
    </row>
    <row r="1401" spans="1:4" x14ac:dyDescent="0.2">
      <c r="A1401" s="344">
        <v>44327</v>
      </c>
      <c r="B1401" s="333">
        <f t="shared" si="11"/>
        <v>520561.7</v>
      </c>
      <c r="C1401" s="485">
        <v>520361.7</v>
      </c>
      <c r="D1401" s="486">
        <v>200</v>
      </c>
    </row>
    <row r="1402" spans="1:4" x14ac:dyDescent="0.2">
      <c r="A1402" s="344">
        <v>44328</v>
      </c>
      <c r="B1402" s="333">
        <f t="shared" si="11"/>
        <v>520562</v>
      </c>
      <c r="C1402" s="485">
        <v>520362</v>
      </c>
      <c r="D1402" s="486">
        <v>200</v>
      </c>
    </row>
    <row r="1403" spans="1:4" x14ac:dyDescent="0.2">
      <c r="A1403" s="344">
        <v>44329</v>
      </c>
      <c r="B1403" s="333">
        <f t="shared" si="11"/>
        <v>525995.02</v>
      </c>
      <c r="C1403" s="485">
        <v>525795.02</v>
      </c>
      <c r="D1403" s="486">
        <v>200</v>
      </c>
    </row>
    <row r="1404" spans="1:4" x14ac:dyDescent="0.2">
      <c r="A1404" s="344">
        <v>44330</v>
      </c>
      <c r="B1404" s="333">
        <f t="shared" si="11"/>
        <v>521947.98</v>
      </c>
      <c r="C1404" s="485">
        <v>521747.98</v>
      </c>
      <c r="D1404" s="486">
        <v>200</v>
      </c>
    </row>
    <row r="1405" spans="1:4" x14ac:dyDescent="0.2">
      <c r="A1405" s="344">
        <v>44333</v>
      </c>
      <c r="B1405" s="333">
        <f t="shared" si="11"/>
        <v>521948</v>
      </c>
      <c r="C1405" s="485">
        <v>521748</v>
      </c>
      <c r="D1405" s="486">
        <v>200</v>
      </c>
    </row>
    <row r="1406" spans="1:4" x14ac:dyDescent="0.2">
      <c r="A1406" s="344">
        <v>44334</v>
      </c>
      <c r="B1406" s="333">
        <f t="shared" si="11"/>
        <v>521948</v>
      </c>
      <c r="C1406" s="485">
        <v>521748</v>
      </c>
      <c r="D1406" s="486">
        <v>200</v>
      </c>
    </row>
    <row r="1407" spans="1:4" x14ac:dyDescent="0.2">
      <c r="A1407" s="344">
        <v>44335</v>
      </c>
      <c r="B1407" s="333">
        <f t="shared" si="11"/>
        <v>522186.98</v>
      </c>
      <c r="C1407" s="485">
        <v>521986.98</v>
      </c>
      <c r="D1407" s="486">
        <v>200</v>
      </c>
    </row>
    <row r="1408" spans="1:4" x14ac:dyDescent="0.2">
      <c r="A1408" s="344">
        <v>44336</v>
      </c>
      <c r="B1408" s="333">
        <f t="shared" si="11"/>
        <v>518466.54</v>
      </c>
      <c r="C1408" s="485">
        <v>518266.54</v>
      </c>
      <c r="D1408" s="486">
        <v>200</v>
      </c>
    </row>
    <row r="1409" spans="1:4" x14ac:dyDescent="0.2">
      <c r="A1409" s="344">
        <v>44337</v>
      </c>
      <c r="B1409" s="333">
        <f t="shared" si="11"/>
        <v>518467</v>
      </c>
      <c r="C1409" s="485">
        <v>518267</v>
      </c>
      <c r="D1409" s="486">
        <v>200</v>
      </c>
    </row>
    <row r="1410" spans="1:4" x14ac:dyDescent="0.2">
      <c r="A1410" s="344">
        <v>44340</v>
      </c>
      <c r="B1410" s="333">
        <f t="shared" si="11"/>
        <v>486541.35</v>
      </c>
      <c r="C1410" s="485">
        <v>486341.35</v>
      </c>
      <c r="D1410" s="486">
        <v>200</v>
      </c>
    </row>
    <row r="1411" spans="1:4" x14ac:dyDescent="0.2">
      <c r="A1411" s="344">
        <v>44341</v>
      </c>
      <c r="B1411" s="333">
        <f t="shared" si="11"/>
        <v>486541</v>
      </c>
      <c r="C1411" s="485">
        <v>486341</v>
      </c>
      <c r="D1411" s="486">
        <v>200</v>
      </c>
    </row>
    <row r="1412" spans="1:4" x14ac:dyDescent="0.2">
      <c r="A1412" s="344">
        <v>44342</v>
      </c>
      <c r="B1412" s="333">
        <f t="shared" si="11"/>
        <v>512462.15</v>
      </c>
      <c r="C1412" s="485">
        <v>512262.15</v>
      </c>
      <c r="D1412" s="486">
        <v>200</v>
      </c>
    </row>
    <row r="1413" spans="1:4" x14ac:dyDescent="0.2">
      <c r="A1413" s="344">
        <v>44343</v>
      </c>
      <c r="B1413" s="333">
        <f t="shared" si="11"/>
        <v>512462</v>
      </c>
      <c r="C1413" s="485">
        <v>512262</v>
      </c>
      <c r="D1413" s="486">
        <v>200</v>
      </c>
    </row>
    <row r="1414" spans="1:4" x14ac:dyDescent="0.2">
      <c r="A1414" s="344">
        <v>44344</v>
      </c>
      <c r="B1414" s="333">
        <f t="shared" si="11"/>
        <v>513609.04</v>
      </c>
      <c r="C1414" s="485">
        <v>513409.04</v>
      </c>
      <c r="D1414" s="486">
        <v>200</v>
      </c>
    </row>
    <row r="1415" spans="1:4" x14ac:dyDescent="0.2">
      <c r="A1415" s="344">
        <v>44347</v>
      </c>
      <c r="B1415" s="333">
        <f t="shared" si="11"/>
        <v>513609</v>
      </c>
      <c r="C1415" s="485">
        <v>513409</v>
      </c>
      <c r="D1415" s="486">
        <v>200</v>
      </c>
    </row>
    <row r="1416" spans="1:4" x14ac:dyDescent="0.2">
      <c r="A1416" s="344">
        <v>44348</v>
      </c>
      <c r="B1416" s="333">
        <f t="shared" si="11"/>
        <v>513579.05</v>
      </c>
      <c r="C1416" s="485">
        <v>513379.05</v>
      </c>
      <c r="D1416" s="486">
        <v>200</v>
      </c>
    </row>
    <row r="1417" spans="1:4" x14ac:dyDescent="0.2">
      <c r="A1417" s="344">
        <v>44349</v>
      </c>
      <c r="B1417" s="333">
        <f t="shared" si="11"/>
        <v>514399.44</v>
      </c>
      <c r="C1417" s="485">
        <v>514199.44</v>
      </c>
      <c r="D1417" s="486">
        <v>200</v>
      </c>
    </row>
    <row r="1418" spans="1:4" x14ac:dyDescent="0.2">
      <c r="A1418" s="344">
        <v>44350</v>
      </c>
      <c r="B1418" s="333">
        <f t="shared" si="11"/>
        <v>501741.57</v>
      </c>
      <c r="C1418" s="485">
        <v>501541.57</v>
      </c>
      <c r="D1418" s="486">
        <v>200</v>
      </c>
    </row>
    <row r="1419" spans="1:4" x14ac:dyDescent="0.2">
      <c r="A1419" s="344">
        <v>44351</v>
      </c>
      <c r="B1419" s="333">
        <f t="shared" si="11"/>
        <v>501742</v>
      </c>
      <c r="C1419" s="485">
        <v>501542</v>
      </c>
      <c r="D1419" s="486">
        <v>200</v>
      </c>
    </row>
    <row r="1420" spans="1:4" x14ac:dyDescent="0.2">
      <c r="A1420" s="344">
        <v>44354</v>
      </c>
      <c r="B1420" s="333">
        <f t="shared" si="11"/>
        <v>502500.51</v>
      </c>
      <c r="C1420" s="485">
        <v>502300.51</v>
      </c>
      <c r="D1420" s="486">
        <v>200</v>
      </c>
    </row>
    <row r="1421" spans="1:4" x14ac:dyDescent="0.2">
      <c r="A1421" s="344">
        <v>44355</v>
      </c>
      <c r="B1421" s="333">
        <f t="shared" si="11"/>
        <v>502953.51</v>
      </c>
      <c r="C1421" s="485">
        <v>502753.51</v>
      </c>
      <c r="D1421" s="486">
        <v>200</v>
      </c>
    </row>
    <row r="1422" spans="1:4" x14ac:dyDescent="0.2">
      <c r="A1422" s="344">
        <v>44356</v>
      </c>
      <c r="B1422" s="333">
        <f t="shared" si="11"/>
        <v>502954</v>
      </c>
      <c r="C1422" s="485">
        <v>502754</v>
      </c>
      <c r="D1422" s="486">
        <v>200</v>
      </c>
    </row>
    <row r="1423" spans="1:4" x14ac:dyDescent="0.2">
      <c r="A1423" s="344">
        <v>44357</v>
      </c>
      <c r="B1423" s="333">
        <f t="shared" si="11"/>
        <v>483592.4</v>
      </c>
      <c r="C1423" s="485">
        <v>483392.4</v>
      </c>
      <c r="D1423" s="486">
        <v>200</v>
      </c>
    </row>
    <row r="1424" spans="1:4" x14ac:dyDescent="0.2">
      <c r="A1424" s="344">
        <v>44358</v>
      </c>
      <c r="B1424" s="333">
        <f t="shared" si="11"/>
        <v>483291.95</v>
      </c>
      <c r="C1424" s="485">
        <v>483091.95</v>
      </c>
      <c r="D1424" s="486">
        <v>200</v>
      </c>
    </row>
    <row r="1425" spans="1:4" x14ac:dyDescent="0.2">
      <c r="A1425" s="344">
        <v>44361</v>
      </c>
      <c r="B1425" s="333">
        <f t="shared" si="11"/>
        <v>495768.59</v>
      </c>
      <c r="C1425" s="485">
        <v>495568.59</v>
      </c>
      <c r="D1425" s="486">
        <v>200</v>
      </c>
    </row>
    <row r="1426" spans="1:4" x14ac:dyDescent="0.2">
      <c r="A1426" s="344">
        <v>44362</v>
      </c>
      <c r="B1426" s="333">
        <f t="shared" si="11"/>
        <v>495822.72</v>
      </c>
      <c r="C1426" s="485">
        <v>495622.72</v>
      </c>
      <c r="D1426" s="486">
        <v>200</v>
      </c>
    </row>
    <row r="1427" spans="1:4" x14ac:dyDescent="0.2">
      <c r="A1427" s="344">
        <v>44363</v>
      </c>
      <c r="B1427" s="333">
        <f t="shared" si="11"/>
        <v>520028.1</v>
      </c>
      <c r="C1427" s="485">
        <v>519828.1</v>
      </c>
      <c r="D1427" s="486">
        <v>200</v>
      </c>
    </row>
    <row r="1428" spans="1:4" x14ac:dyDescent="0.2">
      <c r="A1428" s="344">
        <v>44364</v>
      </c>
      <c r="B1428" s="333">
        <f t="shared" si="11"/>
        <v>517161.8</v>
      </c>
      <c r="C1428" s="485">
        <v>516961.8</v>
      </c>
      <c r="D1428" s="486">
        <v>200</v>
      </c>
    </row>
    <row r="1429" spans="1:4" x14ac:dyDescent="0.2">
      <c r="A1429" s="344">
        <v>44365</v>
      </c>
      <c r="B1429" s="333">
        <f t="shared" si="11"/>
        <v>518094.91</v>
      </c>
      <c r="C1429" s="485">
        <v>517894.91</v>
      </c>
      <c r="D1429" s="486">
        <v>200</v>
      </c>
    </row>
    <row r="1430" spans="1:4" x14ac:dyDescent="0.2">
      <c r="A1430" s="344">
        <v>44368</v>
      </c>
      <c r="B1430" s="333">
        <f t="shared" si="11"/>
        <v>484042.38</v>
      </c>
      <c r="C1430" s="485">
        <v>483842.38</v>
      </c>
      <c r="D1430" s="486">
        <v>200</v>
      </c>
    </row>
    <row r="1431" spans="1:4" x14ac:dyDescent="0.2">
      <c r="A1431" s="344">
        <v>44369</v>
      </c>
      <c r="B1431" s="333">
        <f t="shared" si="11"/>
        <v>497746.99</v>
      </c>
      <c r="C1431" s="485">
        <v>497546.99</v>
      </c>
      <c r="D1431" s="486">
        <v>200</v>
      </c>
    </row>
    <row r="1432" spans="1:4" x14ac:dyDescent="0.2">
      <c r="A1432" s="344">
        <v>44370</v>
      </c>
      <c r="B1432" s="333">
        <f t="shared" si="11"/>
        <v>497747</v>
      </c>
      <c r="C1432" s="485">
        <v>497547</v>
      </c>
      <c r="D1432" s="486">
        <v>200</v>
      </c>
    </row>
    <row r="1433" spans="1:4" x14ac:dyDescent="0.2">
      <c r="A1433" s="344">
        <v>44371</v>
      </c>
      <c r="B1433" s="333">
        <f t="shared" si="11"/>
        <v>495381.8</v>
      </c>
      <c r="C1433" s="485">
        <v>495181.8</v>
      </c>
      <c r="D1433" s="486">
        <v>200</v>
      </c>
    </row>
    <row r="1434" spans="1:4" x14ac:dyDescent="0.2">
      <c r="A1434" s="344">
        <v>44372</v>
      </c>
      <c r="B1434" s="333">
        <f t="shared" si="11"/>
        <v>495081.35</v>
      </c>
      <c r="C1434" s="485">
        <v>494881.35</v>
      </c>
      <c r="D1434" s="486">
        <v>200</v>
      </c>
    </row>
    <row r="1435" spans="1:4" x14ac:dyDescent="0.2">
      <c r="A1435" s="344">
        <v>44375</v>
      </c>
      <c r="B1435" s="333">
        <f t="shared" si="11"/>
        <v>495055.65</v>
      </c>
      <c r="C1435" s="485">
        <v>494855.65</v>
      </c>
      <c r="D1435" s="486">
        <v>200</v>
      </c>
    </row>
    <row r="1436" spans="1:4" x14ac:dyDescent="0.2">
      <c r="A1436" s="344">
        <v>44376</v>
      </c>
      <c r="B1436" s="333">
        <f t="shared" si="11"/>
        <v>495056</v>
      </c>
      <c r="C1436" s="485">
        <v>494856</v>
      </c>
      <c r="D1436" s="486">
        <v>200</v>
      </c>
    </row>
    <row r="1437" spans="1:4" x14ac:dyDescent="0.2">
      <c r="A1437" s="344">
        <v>44377</v>
      </c>
      <c r="B1437" s="333">
        <f t="shared" si="11"/>
        <v>497588.94</v>
      </c>
      <c r="C1437" s="485">
        <v>497388.94</v>
      </c>
      <c r="D1437" s="486">
        <v>200</v>
      </c>
    </row>
    <row r="1438" spans="1:4" x14ac:dyDescent="0.2">
      <c r="A1438" s="344">
        <v>44378</v>
      </c>
      <c r="B1438" s="333">
        <f t="shared" si="11"/>
        <v>488300.76</v>
      </c>
      <c r="C1438" s="485">
        <v>488100.76</v>
      </c>
      <c r="D1438" s="486">
        <v>200</v>
      </c>
    </row>
    <row r="1439" spans="1:4" x14ac:dyDescent="0.2">
      <c r="A1439" s="344">
        <v>44379</v>
      </c>
      <c r="B1439" s="333">
        <f t="shared" si="11"/>
        <v>488301</v>
      </c>
      <c r="C1439" s="485">
        <v>488101</v>
      </c>
      <c r="D1439" s="486">
        <v>200</v>
      </c>
    </row>
    <row r="1440" spans="1:4" x14ac:dyDescent="0.2">
      <c r="A1440" s="344">
        <v>44382</v>
      </c>
      <c r="B1440" s="333">
        <f t="shared" si="11"/>
        <v>488301</v>
      </c>
      <c r="C1440" s="485">
        <v>488101</v>
      </c>
      <c r="D1440" s="486">
        <v>200</v>
      </c>
    </row>
    <row r="1441" spans="1:4" x14ac:dyDescent="0.2">
      <c r="A1441" s="344">
        <v>44383</v>
      </c>
      <c r="B1441" s="333">
        <f t="shared" si="11"/>
        <v>453460.75</v>
      </c>
      <c r="C1441" s="485">
        <v>453260.75</v>
      </c>
      <c r="D1441" s="486">
        <v>200</v>
      </c>
    </row>
    <row r="1442" spans="1:4" x14ac:dyDescent="0.2">
      <c r="A1442" s="344">
        <v>44384</v>
      </c>
      <c r="B1442" s="333">
        <f t="shared" si="11"/>
        <v>453461</v>
      </c>
      <c r="C1442" s="485">
        <v>453261</v>
      </c>
      <c r="D1442" s="486">
        <v>200</v>
      </c>
    </row>
    <row r="1443" spans="1:4" x14ac:dyDescent="0.2">
      <c r="A1443" s="344">
        <v>44385</v>
      </c>
      <c r="B1443" s="333">
        <f t="shared" si="11"/>
        <v>453914.75</v>
      </c>
      <c r="C1443" s="485">
        <v>453714.75</v>
      </c>
      <c r="D1443" s="486">
        <v>200</v>
      </c>
    </row>
    <row r="1444" spans="1:4" x14ac:dyDescent="0.2">
      <c r="A1444" s="344">
        <v>44386</v>
      </c>
      <c r="B1444" s="333">
        <f t="shared" si="11"/>
        <v>451808.36</v>
      </c>
      <c r="C1444" s="485">
        <v>451608.36</v>
      </c>
      <c r="D1444" s="486">
        <v>200</v>
      </c>
    </row>
    <row r="1445" spans="1:4" x14ac:dyDescent="0.2">
      <c r="A1445" s="344">
        <v>44389</v>
      </c>
      <c r="B1445" s="333">
        <f t="shared" si="11"/>
        <v>451808</v>
      </c>
      <c r="C1445" s="485">
        <v>451608</v>
      </c>
      <c r="D1445" s="486">
        <v>200</v>
      </c>
    </row>
    <row r="1446" spans="1:4" x14ac:dyDescent="0.2">
      <c r="A1446" s="344">
        <v>44390</v>
      </c>
      <c r="B1446" s="333">
        <f t="shared" si="11"/>
        <v>452941.65</v>
      </c>
      <c r="C1446" s="485">
        <v>452741.65</v>
      </c>
      <c r="D1446" s="486">
        <v>200</v>
      </c>
    </row>
    <row r="1447" spans="1:4" x14ac:dyDescent="0.2">
      <c r="A1447" s="344">
        <v>44391</v>
      </c>
      <c r="B1447" s="333">
        <f t="shared" si="11"/>
        <v>453131.97</v>
      </c>
      <c r="C1447" s="485">
        <v>452931.97</v>
      </c>
      <c r="D1447" s="486">
        <v>200</v>
      </c>
    </row>
    <row r="1448" spans="1:4" x14ac:dyDescent="0.2">
      <c r="A1448" s="344">
        <v>44392</v>
      </c>
      <c r="B1448" s="333">
        <f t="shared" si="11"/>
        <v>453180.49</v>
      </c>
      <c r="C1448" s="485">
        <v>452980.49</v>
      </c>
      <c r="D1448" s="486">
        <v>200</v>
      </c>
    </row>
    <row r="1449" spans="1:4" x14ac:dyDescent="0.2">
      <c r="A1449" s="344">
        <v>44393</v>
      </c>
      <c r="B1449" s="333">
        <f t="shared" si="11"/>
        <v>453180</v>
      </c>
      <c r="C1449" s="485">
        <v>452980</v>
      </c>
      <c r="D1449" s="486">
        <v>200</v>
      </c>
    </row>
    <row r="1450" spans="1:4" x14ac:dyDescent="0.2">
      <c r="A1450" s="344">
        <v>44396</v>
      </c>
      <c r="B1450" s="333">
        <f t="shared" si="11"/>
        <v>436299.85</v>
      </c>
      <c r="C1450" s="485">
        <v>436099.85</v>
      </c>
      <c r="D1450" s="486">
        <v>200</v>
      </c>
    </row>
    <row r="1451" spans="1:4" x14ac:dyDescent="0.2">
      <c r="A1451" s="344">
        <v>44397</v>
      </c>
      <c r="B1451" s="333">
        <f t="shared" si="11"/>
        <v>400936.9</v>
      </c>
      <c r="C1451" s="485">
        <v>400736.9</v>
      </c>
      <c r="D1451" s="486">
        <v>200</v>
      </c>
    </row>
    <row r="1452" spans="1:4" x14ac:dyDescent="0.2">
      <c r="A1452" s="344">
        <v>44398</v>
      </c>
      <c r="B1452" s="333">
        <f t="shared" si="11"/>
        <v>400937</v>
      </c>
      <c r="C1452" s="485">
        <v>400737</v>
      </c>
      <c r="D1452" s="486">
        <v>200</v>
      </c>
    </row>
    <row r="1453" spans="1:4" x14ac:dyDescent="0.2">
      <c r="A1453" s="344">
        <v>44399</v>
      </c>
      <c r="B1453" s="333">
        <f t="shared" si="11"/>
        <v>298716.2</v>
      </c>
      <c r="C1453" s="485">
        <v>298516.2</v>
      </c>
      <c r="D1453" s="486">
        <v>200</v>
      </c>
    </row>
    <row r="1454" spans="1:4" x14ac:dyDescent="0.2">
      <c r="A1454" s="344">
        <v>44400</v>
      </c>
      <c r="B1454" s="333">
        <f t="shared" si="11"/>
        <v>298557.34999999998</v>
      </c>
      <c r="C1454" s="485">
        <v>298357.34999999998</v>
      </c>
      <c r="D1454" s="486">
        <v>200</v>
      </c>
    </row>
    <row r="1455" spans="1:4" x14ac:dyDescent="0.2">
      <c r="A1455" s="344">
        <v>44403</v>
      </c>
      <c r="B1455" s="333">
        <f t="shared" ref="B1455" si="12">C1455+D1455</f>
        <v>298557</v>
      </c>
      <c r="C1455" s="485">
        <v>298357</v>
      </c>
      <c r="D1455" s="486">
        <v>200</v>
      </c>
    </row>
    <row r="1456" spans="1:4" x14ac:dyDescent="0.2">
      <c r="A1456" s="344">
        <v>44404</v>
      </c>
      <c r="B1456" s="333">
        <v>298047.28999999998</v>
      </c>
      <c r="C1456" s="485">
        <v>298357</v>
      </c>
      <c r="D1456" s="486">
        <v>200</v>
      </c>
    </row>
    <row r="1457" spans="1:4" x14ac:dyDescent="0.2">
      <c r="A1457" s="344">
        <v>44405</v>
      </c>
      <c r="B1457" s="333">
        <f t="shared" ref="B1457:B1520" si="13">C1457+D1457</f>
        <v>298221.59000000003</v>
      </c>
      <c r="C1457" s="333">
        <v>298021.59000000003</v>
      </c>
      <c r="D1457" s="486">
        <v>200</v>
      </c>
    </row>
    <row r="1458" spans="1:4" x14ac:dyDescent="0.2">
      <c r="A1458" s="344">
        <v>44406</v>
      </c>
      <c r="B1458" s="333">
        <f t="shared" si="13"/>
        <v>298222</v>
      </c>
      <c r="C1458" s="333">
        <v>298022</v>
      </c>
      <c r="D1458" s="486">
        <v>200</v>
      </c>
    </row>
    <row r="1459" spans="1:4" x14ac:dyDescent="0.2">
      <c r="A1459" s="344">
        <v>44407</v>
      </c>
      <c r="B1459" s="333">
        <f t="shared" si="13"/>
        <v>286090</v>
      </c>
      <c r="C1459" s="333">
        <v>285890</v>
      </c>
      <c r="D1459" s="486">
        <v>200</v>
      </c>
    </row>
    <row r="1460" spans="1:4" x14ac:dyDescent="0.2">
      <c r="A1460" s="344">
        <v>44410</v>
      </c>
      <c r="B1460" s="333">
        <f t="shared" si="13"/>
        <v>285690.83</v>
      </c>
      <c r="C1460" s="333">
        <v>285490.83</v>
      </c>
      <c r="D1460" s="486">
        <v>200</v>
      </c>
    </row>
    <row r="1461" spans="1:4" x14ac:dyDescent="0.2">
      <c r="A1461" s="344">
        <v>44411</v>
      </c>
      <c r="B1461" s="333">
        <f t="shared" si="13"/>
        <v>250196.9</v>
      </c>
      <c r="C1461" s="333">
        <v>249996.9</v>
      </c>
      <c r="D1461" s="486">
        <v>200</v>
      </c>
    </row>
    <row r="1462" spans="1:4" x14ac:dyDescent="0.2">
      <c r="A1462" s="344">
        <v>44412</v>
      </c>
      <c r="B1462" s="333">
        <f t="shared" si="13"/>
        <v>250197</v>
      </c>
      <c r="C1462" s="333">
        <v>249997</v>
      </c>
      <c r="D1462" s="486">
        <v>200</v>
      </c>
    </row>
    <row r="1463" spans="1:4" x14ac:dyDescent="0.2">
      <c r="A1463" s="344">
        <v>44413</v>
      </c>
      <c r="B1463" s="333">
        <f t="shared" si="13"/>
        <v>242217.24</v>
      </c>
      <c r="C1463" s="333">
        <v>242017.24</v>
      </c>
      <c r="D1463" s="486">
        <v>200</v>
      </c>
    </row>
    <row r="1464" spans="1:4" x14ac:dyDescent="0.2">
      <c r="A1464" s="344">
        <v>44414</v>
      </c>
      <c r="B1464" s="333">
        <f t="shared" si="13"/>
        <v>241916.79</v>
      </c>
      <c r="C1464" s="333">
        <v>241716.79</v>
      </c>
      <c r="D1464" s="486">
        <v>200</v>
      </c>
    </row>
    <row r="1465" spans="1:4" x14ac:dyDescent="0.2">
      <c r="A1465" s="344">
        <v>44417</v>
      </c>
      <c r="B1465" s="333">
        <f t="shared" si="13"/>
        <v>242014.29</v>
      </c>
      <c r="C1465" s="333">
        <v>241814.29</v>
      </c>
      <c r="D1465" s="486">
        <v>200</v>
      </c>
    </row>
    <row r="1466" spans="1:4" x14ac:dyDescent="0.2">
      <c r="A1466" s="344">
        <v>44418</v>
      </c>
      <c r="B1466" s="333">
        <f t="shared" si="13"/>
        <v>260028.48</v>
      </c>
      <c r="C1466" s="333">
        <v>259828.48000000001</v>
      </c>
      <c r="D1466" s="486">
        <v>200</v>
      </c>
    </row>
    <row r="1467" spans="1:4" x14ac:dyDescent="0.2">
      <c r="A1467" s="344">
        <v>44419</v>
      </c>
      <c r="B1467" s="333">
        <f t="shared" si="13"/>
        <v>261085.42</v>
      </c>
      <c r="C1467" s="333">
        <v>260885.42</v>
      </c>
      <c r="D1467" s="486">
        <v>200</v>
      </c>
    </row>
    <row r="1468" spans="1:4" x14ac:dyDescent="0.2">
      <c r="A1468" s="344">
        <v>44420</v>
      </c>
      <c r="B1468" s="333">
        <f t="shared" si="13"/>
        <v>261983.68</v>
      </c>
      <c r="C1468" s="333">
        <v>261783.67999999999</v>
      </c>
      <c r="D1468" s="486">
        <v>200</v>
      </c>
    </row>
    <row r="1469" spans="1:4" x14ac:dyDescent="0.2">
      <c r="A1469" s="344">
        <v>44421</v>
      </c>
      <c r="B1469" s="333">
        <f t="shared" si="13"/>
        <v>262016.54</v>
      </c>
      <c r="C1469" s="333">
        <v>261816.54</v>
      </c>
      <c r="D1469" s="486">
        <v>200</v>
      </c>
    </row>
    <row r="1470" spans="1:4" x14ac:dyDescent="0.2">
      <c r="A1470" s="344">
        <v>44424</v>
      </c>
      <c r="B1470" s="333">
        <f t="shared" si="13"/>
        <v>262016.54</v>
      </c>
      <c r="C1470" s="333">
        <f t="shared" ref="C1470:C1522" si="14">C1469</f>
        <v>261816.54</v>
      </c>
      <c r="D1470" s="486">
        <v>200</v>
      </c>
    </row>
    <row r="1471" spans="1:4" x14ac:dyDescent="0.2">
      <c r="A1471" s="344">
        <v>44425</v>
      </c>
      <c r="B1471" s="333">
        <f t="shared" si="13"/>
        <v>226196.56</v>
      </c>
      <c r="C1471" s="333">
        <v>225996.56</v>
      </c>
      <c r="D1471" s="486">
        <v>200</v>
      </c>
    </row>
    <row r="1472" spans="1:4" x14ac:dyDescent="0.2">
      <c r="A1472" s="344">
        <v>44426</v>
      </c>
      <c r="B1472" s="333">
        <f t="shared" si="13"/>
        <v>245030.16</v>
      </c>
      <c r="C1472" s="333">
        <v>244830.16</v>
      </c>
      <c r="D1472" s="486">
        <v>200</v>
      </c>
    </row>
    <row r="1473" spans="1:4" x14ac:dyDescent="0.2">
      <c r="A1473" s="344">
        <v>44427</v>
      </c>
      <c r="B1473" s="333">
        <f t="shared" si="13"/>
        <v>229633.33</v>
      </c>
      <c r="C1473" s="333">
        <v>229433.33</v>
      </c>
      <c r="D1473" s="486">
        <v>200</v>
      </c>
    </row>
    <row r="1474" spans="1:4" x14ac:dyDescent="0.2">
      <c r="A1474" s="344">
        <v>44428</v>
      </c>
      <c r="B1474" s="333">
        <f t="shared" si="13"/>
        <v>247195.12</v>
      </c>
      <c r="C1474" s="333">
        <v>246995.12</v>
      </c>
      <c r="D1474" s="486">
        <v>200</v>
      </c>
    </row>
    <row r="1475" spans="1:4" x14ac:dyDescent="0.2">
      <c r="A1475" s="344">
        <v>44431</v>
      </c>
      <c r="B1475" s="333">
        <f t="shared" si="13"/>
        <v>247195.12</v>
      </c>
      <c r="C1475" s="333">
        <f t="shared" si="14"/>
        <v>246995.12</v>
      </c>
      <c r="D1475" s="486">
        <v>200</v>
      </c>
    </row>
    <row r="1476" spans="1:4" x14ac:dyDescent="0.2">
      <c r="A1476" s="344">
        <v>44432</v>
      </c>
      <c r="B1476" s="333">
        <f t="shared" si="13"/>
        <v>347649.83</v>
      </c>
      <c r="C1476" s="333">
        <v>347449.83</v>
      </c>
      <c r="D1476" s="486">
        <v>200</v>
      </c>
    </row>
    <row r="1477" spans="1:4" x14ac:dyDescent="0.2">
      <c r="A1477" s="344">
        <v>44433</v>
      </c>
      <c r="B1477" s="333">
        <f t="shared" si="13"/>
        <v>347649.83</v>
      </c>
      <c r="C1477" s="333">
        <f t="shared" si="14"/>
        <v>347449.83</v>
      </c>
      <c r="D1477" s="486">
        <v>200</v>
      </c>
    </row>
    <row r="1478" spans="1:4" x14ac:dyDescent="0.2">
      <c r="A1478" s="344">
        <v>44434</v>
      </c>
      <c r="B1478" s="333">
        <f t="shared" si="13"/>
        <v>341237.68</v>
      </c>
      <c r="C1478" s="333">
        <v>341037.68</v>
      </c>
      <c r="D1478" s="486">
        <v>200</v>
      </c>
    </row>
    <row r="1479" spans="1:4" x14ac:dyDescent="0.2">
      <c r="A1479" s="344">
        <v>44435</v>
      </c>
      <c r="B1479" s="333">
        <f t="shared" si="13"/>
        <v>373525.01</v>
      </c>
      <c r="C1479" s="333">
        <v>373325.01</v>
      </c>
      <c r="D1479" s="486">
        <v>200</v>
      </c>
    </row>
    <row r="1480" spans="1:4" x14ac:dyDescent="0.2">
      <c r="A1480" s="344">
        <v>44438</v>
      </c>
      <c r="B1480" s="333">
        <f t="shared" si="13"/>
        <v>373525.01</v>
      </c>
      <c r="C1480" s="333">
        <f t="shared" si="14"/>
        <v>373325.01</v>
      </c>
      <c r="D1480" s="486">
        <v>200</v>
      </c>
    </row>
    <row r="1481" spans="1:4" x14ac:dyDescent="0.2">
      <c r="A1481" s="344">
        <v>44439</v>
      </c>
      <c r="B1481" s="333">
        <f t="shared" si="13"/>
        <v>336851.39</v>
      </c>
      <c r="C1481" s="333">
        <v>336651.39</v>
      </c>
      <c r="D1481" s="486">
        <v>200</v>
      </c>
    </row>
    <row r="1482" spans="1:4" x14ac:dyDescent="0.2">
      <c r="A1482" s="344">
        <v>44440</v>
      </c>
      <c r="B1482" s="333">
        <f t="shared" si="13"/>
        <v>336851.39</v>
      </c>
      <c r="C1482" s="333">
        <f t="shared" si="14"/>
        <v>336651.39</v>
      </c>
      <c r="D1482" s="486">
        <v>200</v>
      </c>
    </row>
    <row r="1483" spans="1:4" x14ac:dyDescent="0.2">
      <c r="A1483" s="344">
        <v>44441</v>
      </c>
      <c r="B1483" s="333">
        <f t="shared" si="13"/>
        <v>336851.39</v>
      </c>
      <c r="C1483" s="333">
        <f t="shared" si="14"/>
        <v>336651.39</v>
      </c>
      <c r="D1483" s="486">
        <v>200</v>
      </c>
    </row>
    <row r="1484" spans="1:4" x14ac:dyDescent="0.2">
      <c r="A1484" s="344">
        <v>44442</v>
      </c>
      <c r="B1484" s="333">
        <f t="shared" si="13"/>
        <v>360197.14</v>
      </c>
      <c r="C1484" s="333">
        <v>359997.14</v>
      </c>
      <c r="D1484" s="486">
        <v>200</v>
      </c>
    </row>
    <row r="1485" spans="1:4" x14ac:dyDescent="0.2">
      <c r="A1485" s="344">
        <v>44445</v>
      </c>
      <c r="B1485" s="333">
        <f t="shared" si="13"/>
        <v>360197.14</v>
      </c>
      <c r="C1485" s="333">
        <f t="shared" si="14"/>
        <v>359997.14</v>
      </c>
      <c r="D1485" s="486">
        <v>200</v>
      </c>
    </row>
    <row r="1486" spans="1:4" x14ac:dyDescent="0.2">
      <c r="A1486" s="344">
        <v>44446</v>
      </c>
      <c r="B1486" s="333">
        <f t="shared" si="13"/>
        <v>354806.36</v>
      </c>
      <c r="C1486" s="333">
        <v>354606.36</v>
      </c>
      <c r="D1486" s="486">
        <v>200</v>
      </c>
    </row>
    <row r="1487" spans="1:4" x14ac:dyDescent="0.2">
      <c r="A1487" s="344">
        <v>44447</v>
      </c>
      <c r="B1487" s="333">
        <f t="shared" si="13"/>
        <v>354806.36</v>
      </c>
      <c r="C1487" s="333">
        <f t="shared" si="14"/>
        <v>354606.36</v>
      </c>
      <c r="D1487" s="486">
        <v>200</v>
      </c>
    </row>
    <row r="1488" spans="1:4" x14ac:dyDescent="0.2">
      <c r="A1488" s="344">
        <v>44448</v>
      </c>
      <c r="B1488" s="333">
        <f t="shared" si="13"/>
        <v>354806.36</v>
      </c>
      <c r="C1488" s="333">
        <f t="shared" si="14"/>
        <v>354606.36</v>
      </c>
      <c r="D1488" s="486">
        <v>200</v>
      </c>
    </row>
    <row r="1489" spans="1:4" x14ac:dyDescent="0.2">
      <c r="A1489" s="344">
        <v>44449</v>
      </c>
      <c r="B1489" s="333">
        <f t="shared" si="13"/>
        <v>354806.36</v>
      </c>
      <c r="C1489" s="333">
        <f t="shared" si="14"/>
        <v>354606.36</v>
      </c>
      <c r="D1489" s="486">
        <v>200</v>
      </c>
    </row>
    <row r="1490" spans="1:4" x14ac:dyDescent="0.2">
      <c r="A1490" s="344">
        <v>44452</v>
      </c>
      <c r="B1490" s="333">
        <f t="shared" si="13"/>
        <v>317290.98</v>
      </c>
      <c r="C1490" s="333">
        <v>317090.98</v>
      </c>
      <c r="D1490" s="486">
        <v>200</v>
      </c>
    </row>
    <row r="1491" spans="1:4" x14ac:dyDescent="0.2">
      <c r="A1491" s="344">
        <v>44453</v>
      </c>
      <c r="B1491" s="333">
        <f t="shared" si="13"/>
        <v>365898.08</v>
      </c>
      <c r="C1491" s="333">
        <v>365698.08</v>
      </c>
      <c r="D1491" s="486">
        <v>200</v>
      </c>
    </row>
    <row r="1492" spans="1:4" x14ac:dyDescent="0.2">
      <c r="A1492" s="344">
        <v>44454</v>
      </c>
      <c r="B1492" s="333">
        <f t="shared" si="13"/>
        <v>365935.11</v>
      </c>
      <c r="C1492" s="333">
        <v>365735.11</v>
      </c>
      <c r="D1492" s="486">
        <v>200</v>
      </c>
    </row>
    <row r="1493" spans="1:4" x14ac:dyDescent="0.2">
      <c r="A1493" s="344">
        <v>44455</v>
      </c>
      <c r="B1493" s="333">
        <f t="shared" si="13"/>
        <v>365935.11</v>
      </c>
      <c r="C1493" s="333">
        <f t="shared" si="14"/>
        <v>365735.11</v>
      </c>
      <c r="D1493" s="486">
        <v>200</v>
      </c>
    </row>
    <row r="1494" spans="1:4" x14ac:dyDescent="0.2">
      <c r="A1494" s="344">
        <v>44456</v>
      </c>
      <c r="B1494" s="333">
        <f t="shared" si="13"/>
        <v>357664.5</v>
      </c>
      <c r="C1494" s="333">
        <v>357464.5</v>
      </c>
      <c r="D1494" s="486">
        <v>200</v>
      </c>
    </row>
    <row r="1495" spans="1:4" x14ac:dyDescent="0.2">
      <c r="A1495" s="344">
        <v>44459</v>
      </c>
      <c r="B1495" s="333">
        <f t="shared" si="13"/>
        <v>357664.5</v>
      </c>
      <c r="C1495" s="333">
        <f t="shared" si="14"/>
        <v>357464.5</v>
      </c>
      <c r="D1495" s="486">
        <v>200</v>
      </c>
    </row>
    <row r="1496" spans="1:4" x14ac:dyDescent="0.2">
      <c r="A1496" s="344">
        <v>44460</v>
      </c>
      <c r="B1496" s="333">
        <f t="shared" si="13"/>
        <v>357664.5</v>
      </c>
      <c r="C1496" s="333">
        <f t="shared" si="14"/>
        <v>357464.5</v>
      </c>
      <c r="D1496" s="486">
        <v>200</v>
      </c>
    </row>
    <row r="1497" spans="1:4" x14ac:dyDescent="0.2">
      <c r="A1497" s="344">
        <v>44461</v>
      </c>
      <c r="B1497" s="333">
        <f t="shared" si="13"/>
        <v>364108.39</v>
      </c>
      <c r="C1497" s="333">
        <v>363908.39</v>
      </c>
      <c r="D1497" s="486">
        <v>200</v>
      </c>
    </row>
    <row r="1498" spans="1:4" x14ac:dyDescent="0.2">
      <c r="A1498" s="344">
        <v>44462</v>
      </c>
      <c r="B1498" s="333">
        <f t="shared" si="13"/>
        <v>372557.83</v>
      </c>
      <c r="C1498" s="333">
        <v>372357.83</v>
      </c>
      <c r="D1498" s="486">
        <v>200</v>
      </c>
    </row>
    <row r="1499" spans="1:4" x14ac:dyDescent="0.2">
      <c r="A1499" s="344">
        <v>44463</v>
      </c>
      <c r="B1499" s="333">
        <f t="shared" si="13"/>
        <v>372557.83</v>
      </c>
      <c r="C1499" s="333">
        <f t="shared" si="14"/>
        <v>372357.83</v>
      </c>
      <c r="D1499" s="486">
        <v>200</v>
      </c>
    </row>
    <row r="1500" spans="1:4" x14ac:dyDescent="0.2">
      <c r="A1500" s="344">
        <v>44466</v>
      </c>
      <c r="B1500" s="333">
        <f t="shared" si="13"/>
        <v>393073.43</v>
      </c>
      <c r="C1500" s="333">
        <v>392873.43</v>
      </c>
      <c r="D1500" s="486">
        <v>200</v>
      </c>
    </row>
    <row r="1501" spans="1:4" x14ac:dyDescent="0.2">
      <c r="A1501" s="344">
        <v>44467</v>
      </c>
      <c r="B1501" s="333">
        <f t="shared" si="13"/>
        <v>354832.22</v>
      </c>
      <c r="C1501" s="333">
        <v>354632.22</v>
      </c>
      <c r="D1501" s="486">
        <v>200</v>
      </c>
    </row>
    <row r="1502" spans="1:4" x14ac:dyDescent="0.2">
      <c r="A1502" s="344">
        <v>44468</v>
      </c>
      <c r="B1502" s="333">
        <f t="shared" si="13"/>
        <v>354832.22</v>
      </c>
      <c r="C1502" s="333">
        <f t="shared" si="14"/>
        <v>354632.22</v>
      </c>
      <c r="D1502" s="486">
        <v>200</v>
      </c>
    </row>
    <row r="1503" spans="1:4" x14ac:dyDescent="0.2">
      <c r="A1503" s="344">
        <v>44469</v>
      </c>
      <c r="B1503" s="333">
        <f t="shared" si="13"/>
        <v>354832.22</v>
      </c>
      <c r="C1503" s="333">
        <f t="shared" si="14"/>
        <v>354632.22</v>
      </c>
      <c r="D1503" s="486">
        <v>200</v>
      </c>
    </row>
    <row r="1504" spans="1:4" x14ac:dyDescent="0.2">
      <c r="A1504" s="344">
        <v>44470</v>
      </c>
      <c r="B1504" s="333">
        <f t="shared" si="13"/>
        <v>343420.25</v>
      </c>
      <c r="C1504" s="333">
        <v>343220.25</v>
      </c>
      <c r="D1504" s="486">
        <v>200</v>
      </c>
    </row>
    <row r="1505" spans="1:4" x14ac:dyDescent="0.2">
      <c r="A1505" s="344">
        <v>44473</v>
      </c>
      <c r="B1505" s="333">
        <f t="shared" si="13"/>
        <v>343420.25</v>
      </c>
      <c r="C1505" s="333">
        <f t="shared" si="14"/>
        <v>343220.25</v>
      </c>
      <c r="D1505" s="486">
        <v>200</v>
      </c>
    </row>
    <row r="1506" spans="1:4" x14ac:dyDescent="0.2">
      <c r="A1506" s="344">
        <v>44474</v>
      </c>
      <c r="B1506" s="333">
        <f t="shared" si="13"/>
        <v>343582.25</v>
      </c>
      <c r="C1506" s="333">
        <v>343382.25</v>
      </c>
      <c r="D1506" s="486">
        <v>200</v>
      </c>
    </row>
    <row r="1507" spans="1:4" x14ac:dyDescent="0.2">
      <c r="A1507" s="344">
        <v>44475</v>
      </c>
      <c r="B1507" s="333">
        <f t="shared" si="13"/>
        <v>343582.25</v>
      </c>
      <c r="C1507" s="333">
        <f t="shared" si="14"/>
        <v>343382.25</v>
      </c>
      <c r="D1507" s="486">
        <v>200</v>
      </c>
    </row>
    <row r="1508" spans="1:4" x14ac:dyDescent="0.2">
      <c r="A1508" s="344">
        <v>44476</v>
      </c>
      <c r="B1508" s="333">
        <f t="shared" si="13"/>
        <v>343606.26</v>
      </c>
      <c r="C1508" s="333">
        <v>343406.26</v>
      </c>
      <c r="D1508" s="486">
        <v>200</v>
      </c>
    </row>
    <row r="1509" spans="1:4" x14ac:dyDescent="0.2">
      <c r="A1509" s="344">
        <v>44477</v>
      </c>
      <c r="B1509" s="333">
        <f t="shared" si="13"/>
        <v>329221.56</v>
      </c>
      <c r="C1509" s="333">
        <v>329021.56</v>
      </c>
      <c r="D1509" s="486">
        <v>200</v>
      </c>
    </row>
    <row r="1510" spans="1:4" x14ac:dyDescent="0.2">
      <c r="A1510" s="344">
        <v>44480</v>
      </c>
      <c r="B1510" s="333">
        <f t="shared" si="13"/>
        <v>329221.56</v>
      </c>
      <c r="C1510" s="333">
        <f t="shared" si="14"/>
        <v>329021.56</v>
      </c>
      <c r="D1510" s="486">
        <v>200</v>
      </c>
    </row>
    <row r="1511" spans="1:4" x14ac:dyDescent="0.2">
      <c r="A1511" s="344">
        <v>44481</v>
      </c>
      <c r="B1511" s="333">
        <f t="shared" si="13"/>
        <v>288818.46999999997</v>
      </c>
      <c r="C1511" s="333">
        <v>288618.46999999997</v>
      </c>
      <c r="D1511" s="486">
        <v>200</v>
      </c>
    </row>
    <row r="1512" spans="1:4" x14ac:dyDescent="0.2">
      <c r="A1512" s="344">
        <v>44482</v>
      </c>
      <c r="B1512" s="333">
        <f t="shared" si="13"/>
        <v>288818.46999999997</v>
      </c>
      <c r="C1512" s="333">
        <f t="shared" si="14"/>
        <v>288618.46999999997</v>
      </c>
      <c r="D1512" s="486">
        <v>200</v>
      </c>
    </row>
    <row r="1513" spans="1:4" x14ac:dyDescent="0.2">
      <c r="A1513" s="344">
        <v>44483</v>
      </c>
      <c r="B1513" s="333">
        <f t="shared" si="13"/>
        <v>295077.74</v>
      </c>
      <c r="C1513" s="333">
        <v>294877.74</v>
      </c>
      <c r="D1513" s="486">
        <v>200</v>
      </c>
    </row>
    <row r="1514" spans="1:4" x14ac:dyDescent="0.2">
      <c r="A1514" s="344">
        <v>44484</v>
      </c>
      <c r="B1514" s="333">
        <f t="shared" si="13"/>
        <v>313755.08</v>
      </c>
      <c r="C1514" s="333">
        <v>313555.08</v>
      </c>
      <c r="D1514" s="486">
        <v>200</v>
      </c>
    </row>
    <row r="1515" spans="1:4" x14ac:dyDescent="0.2">
      <c r="A1515" s="344">
        <v>44487</v>
      </c>
      <c r="B1515" s="333">
        <f t="shared" si="13"/>
        <v>314129.08</v>
      </c>
      <c r="C1515" s="333">
        <v>313929.08</v>
      </c>
      <c r="D1515" s="486">
        <v>200</v>
      </c>
    </row>
    <row r="1516" spans="1:4" x14ac:dyDescent="0.2">
      <c r="A1516" s="344">
        <v>44488</v>
      </c>
      <c r="B1516" s="333">
        <f t="shared" si="13"/>
        <v>314618.64</v>
      </c>
      <c r="C1516" s="333">
        <v>314418.64</v>
      </c>
      <c r="D1516" s="486">
        <v>200</v>
      </c>
    </row>
    <row r="1517" spans="1:4" x14ac:dyDescent="0.2">
      <c r="A1517" s="344">
        <v>44489</v>
      </c>
      <c r="B1517" s="333">
        <f t="shared" si="13"/>
        <v>312798.90999999997</v>
      </c>
      <c r="C1517" s="333">
        <v>312598.90999999997</v>
      </c>
      <c r="D1517" s="486">
        <v>200</v>
      </c>
    </row>
    <row r="1518" spans="1:4" x14ac:dyDescent="0.2">
      <c r="A1518" s="344">
        <v>44490</v>
      </c>
      <c r="B1518" s="333">
        <f t="shared" si="13"/>
        <v>312798.90999999997</v>
      </c>
      <c r="C1518" s="333">
        <f t="shared" si="14"/>
        <v>312598.90999999997</v>
      </c>
      <c r="D1518" s="486">
        <v>200</v>
      </c>
    </row>
    <row r="1519" spans="1:4" x14ac:dyDescent="0.2">
      <c r="A1519" s="344">
        <v>44491</v>
      </c>
      <c r="B1519" s="333">
        <f t="shared" si="13"/>
        <v>312852.06</v>
      </c>
      <c r="C1519" s="333">
        <v>312652.06</v>
      </c>
      <c r="D1519" s="486">
        <v>200</v>
      </c>
    </row>
    <row r="1520" spans="1:4" x14ac:dyDescent="0.2">
      <c r="A1520" s="344">
        <v>44494</v>
      </c>
      <c r="B1520" s="333">
        <f t="shared" si="13"/>
        <v>276164.93</v>
      </c>
      <c r="C1520" s="333">
        <v>275964.93</v>
      </c>
      <c r="D1520" s="486">
        <v>200</v>
      </c>
    </row>
    <row r="1521" spans="1:4" x14ac:dyDescent="0.2">
      <c r="A1521" s="344">
        <v>44495</v>
      </c>
      <c r="B1521" s="333">
        <f t="shared" ref="B1521:B1584" si="15">C1521+D1521</f>
        <v>272175.64</v>
      </c>
      <c r="C1521" s="333">
        <v>271975.64</v>
      </c>
      <c r="D1521" s="486">
        <v>200</v>
      </c>
    </row>
    <row r="1522" spans="1:4" x14ac:dyDescent="0.2">
      <c r="A1522" s="344">
        <v>44496</v>
      </c>
      <c r="B1522" s="333">
        <f t="shared" si="15"/>
        <v>272175.64</v>
      </c>
      <c r="C1522" s="333">
        <f t="shared" si="14"/>
        <v>271975.64</v>
      </c>
      <c r="D1522" s="486">
        <v>200</v>
      </c>
    </row>
    <row r="1523" spans="1:4" x14ac:dyDescent="0.2">
      <c r="A1523" s="344">
        <v>44497</v>
      </c>
      <c r="B1523" s="333">
        <f t="shared" si="15"/>
        <v>272474.64</v>
      </c>
      <c r="C1523" s="333">
        <v>272274.64</v>
      </c>
      <c r="D1523" s="486">
        <v>200</v>
      </c>
    </row>
    <row r="1524" spans="1:4" x14ac:dyDescent="0.2">
      <c r="A1524" s="344">
        <v>44498</v>
      </c>
      <c r="B1524" s="333">
        <f t="shared" si="15"/>
        <v>272174.19</v>
      </c>
      <c r="C1524" s="333">
        <v>271974.19</v>
      </c>
      <c r="D1524" s="486">
        <v>200</v>
      </c>
    </row>
    <row r="1525" spans="1:4" x14ac:dyDescent="0.2">
      <c r="A1525" s="344">
        <v>44501</v>
      </c>
      <c r="B1525" s="333">
        <f t="shared" si="15"/>
        <v>272174.19</v>
      </c>
      <c r="C1525" s="333">
        <f>C1524</f>
        <v>271974.19</v>
      </c>
      <c r="D1525" s="486">
        <v>200</v>
      </c>
    </row>
    <row r="1526" spans="1:4" x14ac:dyDescent="0.2">
      <c r="A1526" s="344">
        <v>44502</v>
      </c>
      <c r="B1526" s="333">
        <f t="shared" si="15"/>
        <v>272174.19</v>
      </c>
      <c r="C1526" s="333">
        <f t="shared" ref="C1526:C1564" si="16">C1525</f>
        <v>271974.19</v>
      </c>
      <c r="D1526" s="486">
        <v>200</v>
      </c>
    </row>
    <row r="1527" spans="1:4" x14ac:dyDescent="0.2">
      <c r="A1527" s="344">
        <v>44503</v>
      </c>
      <c r="B1527" s="333">
        <f t="shared" si="15"/>
        <v>260821.81</v>
      </c>
      <c r="C1527" s="333">
        <v>260621.81</v>
      </c>
      <c r="D1527" s="486">
        <v>200</v>
      </c>
    </row>
    <row r="1528" spans="1:4" x14ac:dyDescent="0.2">
      <c r="A1528" s="344">
        <v>44504</v>
      </c>
      <c r="B1528" s="333">
        <f t="shared" si="15"/>
        <v>260821.81</v>
      </c>
      <c r="C1528" s="333">
        <f t="shared" si="16"/>
        <v>260621.81</v>
      </c>
      <c r="D1528" s="486">
        <v>200</v>
      </c>
    </row>
    <row r="1529" spans="1:4" x14ac:dyDescent="0.2">
      <c r="A1529" s="344">
        <v>44505</v>
      </c>
      <c r="B1529" s="333">
        <f t="shared" si="15"/>
        <v>260821.81</v>
      </c>
      <c r="C1529" s="333">
        <f t="shared" si="16"/>
        <v>260621.81</v>
      </c>
      <c r="D1529" s="486">
        <v>200</v>
      </c>
    </row>
    <row r="1530" spans="1:4" x14ac:dyDescent="0.2">
      <c r="A1530" s="344">
        <v>44508</v>
      </c>
      <c r="B1530" s="370">
        <f t="shared" si="15"/>
        <v>224274.32</v>
      </c>
      <c r="C1530" s="333">
        <v>224074.32</v>
      </c>
      <c r="D1530" s="486">
        <v>200</v>
      </c>
    </row>
    <row r="1531" spans="1:4" x14ac:dyDescent="0.2">
      <c r="A1531" s="344">
        <v>44509</v>
      </c>
      <c r="B1531" s="333">
        <f t="shared" si="15"/>
        <v>239871.56</v>
      </c>
      <c r="C1531" s="333">
        <v>239671.56</v>
      </c>
      <c r="D1531" s="486">
        <v>200</v>
      </c>
    </row>
    <row r="1532" spans="1:4" x14ac:dyDescent="0.2">
      <c r="A1532" s="344">
        <v>44510</v>
      </c>
      <c r="B1532" s="333">
        <f t="shared" si="15"/>
        <v>260426.56</v>
      </c>
      <c r="C1532" s="333">
        <v>260226.56</v>
      </c>
      <c r="D1532" s="486">
        <v>200</v>
      </c>
    </row>
    <row r="1533" spans="1:4" x14ac:dyDescent="0.2">
      <c r="A1533" s="344">
        <v>44511</v>
      </c>
      <c r="B1533" s="333">
        <f t="shared" si="15"/>
        <v>260426.56</v>
      </c>
      <c r="C1533" s="333">
        <f t="shared" si="16"/>
        <v>260226.56</v>
      </c>
      <c r="D1533" s="486">
        <v>200</v>
      </c>
    </row>
    <row r="1534" spans="1:4" x14ac:dyDescent="0.2">
      <c r="A1534" s="344">
        <v>44512</v>
      </c>
      <c r="B1534" s="333">
        <f t="shared" si="15"/>
        <v>260450.57</v>
      </c>
      <c r="C1534" s="333">
        <v>260250.57</v>
      </c>
      <c r="D1534" s="486">
        <v>200</v>
      </c>
    </row>
    <row r="1535" spans="1:4" x14ac:dyDescent="0.2">
      <c r="A1535" s="344">
        <v>44515</v>
      </c>
      <c r="B1535" s="333">
        <f t="shared" si="15"/>
        <v>260178.68</v>
      </c>
      <c r="C1535" s="333">
        <v>259978.68</v>
      </c>
      <c r="D1535" s="486">
        <v>200</v>
      </c>
    </row>
    <row r="1536" spans="1:4" x14ac:dyDescent="0.2">
      <c r="A1536" s="344">
        <v>44516</v>
      </c>
      <c r="B1536" s="333">
        <f t="shared" si="15"/>
        <v>260178.68</v>
      </c>
      <c r="C1536" s="333">
        <f t="shared" si="16"/>
        <v>259978.68</v>
      </c>
      <c r="D1536" s="486">
        <v>200</v>
      </c>
    </row>
    <row r="1537" spans="1:4" x14ac:dyDescent="0.2">
      <c r="A1537" s="344">
        <v>44517</v>
      </c>
      <c r="B1537" s="333">
        <f t="shared" si="15"/>
        <v>260178.68</v>
      </c>
      <c r="C1537" s="333">
        <f t="shared" si="16"/>
        <v>259978.68</v>
      </c>
      <c r="D1537" s="486">
        <v>200</v>
      </c>
    </row>
    <row r="1538" spans="1:4" x14ac:dyDescent="0.2">
      <c r="A1538" s="344">
        <v>44518</v>
      </c>
      <c r="B1538" s="333">
        <f t="shared" si="15"/>
        <v>298441.25</v>
      </c>
      <c r="C1538" s="333">
        <v>298241.25</v>
      </c>
      <c r="D1538" s="486">
        <v>200</v>
      </c>
    </row>
    <row r="1539" spans="1:4" x14ac:dyDescent="0.2">
      <c r="A1539" s="344">
        <v>44519</v>
      </c>
      <c r="B1539" s="333">
        <f t="shared" si="15"/>
        <v>302391.25</v>
      </c>
      <c r="C1539" s="333">
        <v>302191.25</v>
      </c>
      <c r="D1539" s="486">
        <v>200</v>
      </c>
    </row>
    <row r="1540" spans="1:4" x14ac:dyDescent="0.2">
      <c r="A1540" s="344">
        <v>44522</v>
      </c>
      <c r="B1540" s="333">
        <f t="shared" si="15"/>
        <v>261860.06</v>
      </c>
      <c r="C1540" s="333">
        <v>261660.06</v>
      </c>
      <c r="D1540" s="486">
        <v>200</v>
      </c>
    </row>
    <row r="1541" spans="1:4" x14ac:dyDescent="0.2">
      <c r="A1541" s="344">
        <v>44523</v>
      </c>
      <c r="B1541" s="333">
        <f t="shared" si="15"/>
        <v>261860.06</v>
      </c>
      <c r="C1541" s="333">
        <f t="shared" si="16"/>
        <v>261660.06</v>
      </c>
      <c r="D1541" s="486">
        <v>200</v>
      </c>
    </row>
    <row r="1542" spans="1:4" x14ac:dyDescent="0.2">
      <c r="A1542" s="344">
        <v>44524</v>
      </c>
      <c r="B1542" s="333">
        <f t="shared" si="15"/>
        <v>336740.96</v>
      </c>
      <c r="C1542" s="333">
        <v>336540.96</v>
      </c>
      <c r="D1542" s="486">
        <v>200</v>
      </c>
    </row>
    <row r="1543" spans="1:4" x14ac:dyDescent="0.2">
      <c r="A1543" s="344">
        <v>44525</v>
      </c>
      <c r="B1543" s="333">
        <f t="shared" si="15"/>
        <v>336740.96</v>
      </c>
      <c r="C1543" s="333">
        <f t="shared" si="16"/>
        <v>336540.96</v>
      </c>
      <c r="D1543" s="486">
        <v>200</v>
      </c>
    </row>
    <row r="1544" spans="1:4" x14ac:dyDescent="0.2">
      <c r="A1544" s="344">
        <v>44526</v>
      </c>
      <c r="B1544" s="333">
        <f t="shared" si="15"/>
        <v>396383.57</v>
      </c>
      <c r="C1544" s="333">
        <v>396183.57</v>
      </c>
      <c r="D1544" s="486">
        <v>200</v>
      </c>
    </row>
    <row r="1545" spans="1:4" x14ac:dyDescent="0.2">
      <c r="A1545" s="344">
        <v>44529</v>
      </c>
      <c r="B1545" s="333">
        <f t="shared" si="15"/>
        <v>396383.57</v>
      </c>
      <c r="C1545" s="333">
        <f t="shared" si="16"/>
        <v>396183.57</v>
      </c>
      <c r="D1545" s="486">
        <v>200</v>
      </c>
    </row>
    <row r="1546" spans="1:4" x14ac:dyDescent="0.2">
      <c r="A1546" s="344">
        <v>44530</v>
      </c>
      <c r="B1546" s="333">
        <f t="shared" si="15"/>
        <v>396383.57</v>
      </c>
      <c r="C1546" s="333">
        <f t="shared" si="16"/>
        <v>396183.57</v>
      </c>
      <c r="D1546" s="486">
        <v>200</v>
      </c>
    </row>
    <row r="1547" spans="1:4" x14ac:dyDescent="0.2">
      <c r="A1547" s="344">
        <v>44531</v>
      </c>
      <c r="B1547" s="333">
        <f t="shared" si="15"/>
        <v>406646.33</v>
      </c>
      <c r="C1547" s="333">
        <v>406446.33</v>
      </c>
      <c r="D1547" s="486">
        <v>200</v>
      </c>
    </row>
    <row r="1548" spans="1:4" x14ac:dyDescent="0.2">
      <c r="A1548" s="344">
        <v>44532</v>
      </c>
      <c r="B1548" s="333">
        <f t="shared" si="15"/>
        <v>406646.33</v>
      </c>
      <c r="C1548" s="333">
        <f t="shared" si="16"/>
        <v>406446.33</v>
      </c>
      <c r="D1548" s="486">
        <v>200</v>
      </c>
    </row>
    <row r="1549" spans="1:4" x14ac:dyDescent="0.2">
      <c r="A1549" s="344">
        <v>44533</v>
      </c>
      <c r="B1549" s="333">
        <f t="shared" si="15"/>
        <v>402705.53</v>
      </c>
      <c r="C1549" s="333">
        <v>402505.53</v>
      </c>
      <c r="D1549" s="486">
        <v>200</v>
      </c>
    </row>
    <row r="1550" spans="1:4" x14ac:dyDescent="0.2">
      <c r="A1550" s="344">
        <v>44536</v>
      </c>
      <c r="B1550" s="333">
        <f t="shared" si="15"/>
        <v>402705.53</v>
      </c>
      <c r="C1550" s="333">
        <f t="shared" si="16"/>
        <v>402505.53</v>
      </c>
      <c r="D1550" s="486">
        <v>200</v>
      </c>
    </row>
    <row r="1551" spans="1:4" x14ac:dyDescent="0.2">
      <c r="A1551" s="344">
        <v>44537</v>
      </c>
      <c r="B1551" s="333">
        <f t="shared" si="15"/>
        <v>367227.88</v>
      </c>
      <c r="C1551" s="333">
        <v>367027.88</v>
      </c>
      <c r="D1551" s="486">
        <v>200</v>
      </c>
    </row>
    <row r="1552" spans="1:4" x14ac:dyDescent="0.2">
      <c r="A1552" s="344">
        <v>44538</v>
      </c>
      <c r="B1552" s="333">
        <f t="shared" si="15"/>
        <v>367227.88</v>
      </c>
      <c r="C1552" s="333">
        <f t="shared" si="16"/>
        <v>367027.88</v>
      </c>
      <c r="D1552" s="486">
        <v>200</v>
      </c>
    </row>
    <row r="1553" spans="1:4" x14ac:dyDescent="0.2">
      <c r="A1553" s="344">
        <v>44539</v>
      </c>
      <c r="B1553" s="333">
        <f t="shared" si="15"/>
        <v>361816.56</v>
      </c>
      <c r="C1553" s="333">
        <v>361616.56</v>
      </c>
      <c r="D1553" s="486">
        <v>200</v>
      </c>
    </row>
    <row r="1554" spans="1:4" x14ac:dyDescent="0.2">
      <c r="A1554" s="344">
        <v>44540</v>
      </c>
      <c r="B1554" s="333">
        <f t="shared" si="15"/>
        <v>363428.01</v>
      </c>
      <c r="C1554" s="333">
        <v>363228.01</v>
      </c>
      <c r="D1554" s="486">
        <v>200</v>
      </c>
    </row>
    <row r="1555" spans="1:4" x14ac:dyDescent="0.2">
      <c r="A1555" s="344">
        <v>44543</v>
      </c>
      <c r="B1555" s="333">
        <f t="shared" si="15"/>
        <v>363428.01</v>
      </c>
      <c r="C1555" s="333">
        <f t="shared" si="16"/>
        <v>363228.01</v>
      </c>
      <c r="D1555" s="486">
        <v>200</v>
      </c>
    </row>
    <row r="1556" spans="1:4" x14ac:dyDescent="0.2">
      <c r="A1556" s="344">
        <v>44544</v>
      </c>
      <c r="B1556" s="333">
        <f t="shared" si="15"/>
        <v>388311.01</v>
      </c>
      <c r="C1556" s="333">
        <v>388111.01</v>
      </c>
      <c r="D1556" s="486">
        <v>200</v>
      </c>
    </row>
    <row r="1557" spans="1:4" x14ac:dyDescent="0.2">
      <c r="A1557" s="344">
        <v>44545</v>
      </c>
      <c r="B1557" s="333">
        <f t="shared" si="15"/>
        <v>388648.09</v>
      </c>
      <c r="C1557" s="333">
        <v>388448.09</v>
      </c>
      <c r="D1557" s="486">
        <v>200</v>
      </c>
    </row>
    <row r="1558" spans="1:4" x14ac:dyDescent="0.2">
      <c r="A1558" s="344">
        <v>44546</v>
      </c>
      <c r="B1558" s="333">
        <f t="shared" si="15"/>
        <v>388648.09</v>
      </c>
      <c r="C1558" s="333">
        <f t="shared" si="16"/>
        <v>388448.09</v>
      </c>
      <c r="D1558" s="486">
        <v>200</v>
      </c>
    </row>
    <row r="1559" spans="1:4" x14ac:dyDescent="0.2">
      <c r="A1559" s="344">
        <v>44547</v>
      </c>
      <c r="B1559" s="333">
        <f t="shared" si="15"/>
        <v>388648.09</v>
      </c>
      <c r="C1559" s="333">
        <f t="shared" si="16"/>
        <v>388448.09</v>
      </c>
      <c r="D1559" s="486">
        <v>200</v>
      </c>
    </row>
    <row r="1560" spans="1:4" x14ac:dyDescent="0.2">
      <c r="A1560" s="344">
        <v>44550</v>
      </c>
      <c r="B1560" s="333">
        <f t="shared" si="15"/>
        <v>402388.44</v>
      </c>
      <c r="C1560" s="333">
        <v>402188.44</v>
      </c>
      <c r="D1560" s="486">
        <v>200</v>
      </c>
    </row>
    <row r="1561" spans="1:4" x14ac:dyDescent="0.2">
      <c r="A1561" s="344">
        <v>44551</v>
      </c>
      <c r="B1561" s="333">
        <f t="shared" si="15"/>
        <v>364870.61</v>
      </c>
      <c r="C1561" s="333">
        <v>364670.61</v>
      </c>
      <c r="D1561" s="486">
        <v>200</v>
      </c>
    </row>
    <row r="1562" spans="1:4" x14ac:dyDescent="0.2">
      <c r="A1562" s="344">
        <v>44552</v>
      </c>
      <c r="B1562" s="333">
        <f t="shared" si="15"/>
        <v>364870.61</v>
      </c>
      <c r="C1562" s="333">
        <f t="shared" si="16"/>
        <v>364670.61</v>
      </c>
      <c r="D1562" s="486">
        <v>200</v>
      </c>
    </row>
    <row r="1563" spans="1:4" x14ac:dyDescent="0.2">
      <c r="A1563" s="344">
        <v>44553</v>
      </c>
      <c r="B1563" s="333">
        <f t="shared" si="15"/>
        <v>364270.61</v>
      </c>
      <c r="C1563" s="333">
        <v>364070.61</v>
      </c>
      <c r="D1563" s="486">
        <v>200</v>
      </c>
    </row>
    <row r="1564" spans="1:4" x14ac:dyDescent="0.2">
      <c r="A1564" s="344">
        <v>44554</v>
      </c>
      <c r="B1564" s="333">
        <f t="shared" si="15"/>
        <v>364270.61</v>
      </c>
      <c r="C1564" s="333">
        <f t="shared" si="16"/>
        <v>364070.61</v>
      </c>
      <c r="D1564" s="486">
        <v>200</v>
      </c>
    </row>
    <row r="1565" spans="1:4" x14ac:dyDescent="0.2">
      <c r="A1565" s="344">
        <v>44557</v>
      </c>
      <c r="B1565" s="333">
        <f t="shared" si="15"/>
        <v>364511.61</v>
      </c>
      <c r="C1565" s="333">
        <v>364311.61</v>
      </c>
      <c r="D1565" s="486">
        <v>200</v>
      </c>
    </row>
    <row r="1566" spans="1:4" x14ac:dyDescent="0.2">
      <c r="A1566" s="344">
        <v>44558</v>
      </c>
      <c r="B1566" s="333">
        <f t="shared" si="15"/>
        <v>366287.78</v>
      </c>
      <c r="C1566" s="333">
        <v>366087.78</v>
      </c>
      <c r="D1566" s="486">
        <v>200</v>
      </c>
    </row>
    <row r="1567" spans="1:4" x14ac:dyDescent="0.2">
      <c r="A1567" s="344">
        <v>44559</v>
      </c>
      <c r="B1567" s="333">
        <f t="shared" si="15"/>
        <v>406505.93</v>
      </c>
      <c r="C1567" s="333">
        <v>406305.93</v>
      </c>
      <c r="D1567" s="486">
        <v>200</v>
      </c>
    </row>
    <row r="1568" spans="1:4" x14ac:dyDescent="0.2">
      <c r="A1568" s="344">
        <v>44560</v>
      </c>
      <c r="B1568" s="333">
        <f>C1568+D1568</f>
        <v>406602.93</v>
      </c>
      <c r="C1568" s="333">
        <v>406402.93</v>
      </c>
      <c r="D1568" s="486">
        <v>200</v>
      </c>
    </row>
    <row r="1569" spans="1:4" x14ac:dyDescent="0.2">
      <c r="A1569" s="344">
        <v>44561</v>
      </c>
      <c r="B1569" s="333">
        <f t="shared" si="15"/>
        <v>406700.45</v>
      </c>
      <c r="C1569" s="333">
        <v>406500.45</v>
      </c>
      <c r="D1569" s="486">
        <v>200</v>
      </c>
    </row>
    <row r="1570" spans="1:4" x14ac:dyDescent="0.2">
      <c r="A1570" s="344">
        <v>44564</v>
      </c>
      <c r="B1570" s="333">
        <f t="shared" si="15"/>
        <v>406650.45</v>
      </c>
      <c r="C1570" s="333">
        <v>406450.45</v>
      </c>
      <c r="D1570" s="486">
        <v>200</v>
      </c>
    </row>
    <row r="1571" spans="1:4" x14ac:dyDescent="0.2">
      <c r="A1571" s="344">
        <v>44565</v>
      </c>
      <c r="B1571" s="333">
        <f t="shared" si="15"/>
        <v>372842.39</v>
      </c>
      <c r="C1571" s="333">
        <v>372642.39</v>
      </c>
      <c r="D1571" s="486">
        <v>200</v>
      </c>
    </row>
    <row r="1572" spans="1:4" x14ac:dyDescent="0.2">
      <c r="A1572" s="344">
        <v>44566</v>
      </c>
      <c r="B1572" s="333">
        <f t="shared" si="15"/>
        <v>370078.36</v>
      </c>
      <c r="C1572" s="333">
        <v>369878.36</v>
      </c>
      <c r="D1572" s="486">
        <v>200</v>
      </c>
    </row>
    <row r="1573" spans="1:4" x14ac:dyDescent="0.2">
      <c r="A1573" s="344">
        <v>44567</v>
      </c>
      <c r="B1573" s="333">
        <f t="shared" si="15"/>
        <v>368257.32</v>
      </c>
      <c r="C1573" s="333">
        <v>368057.32</v>
      </c>
      <c r="D1573" s="486">
        <v>200</v>
      </c>
    </row>
    <row r="1574" spans="1:4" x14ac:dyDescent="0.2">
      <c r="A1574" s="344">
        <v>44568</v>
      </c>
      <c r="B1574" s="333">
        <f t="shared" si="15"/>
        <v>369146.3</v>
      </c>
      <c r="C1574" s="333">
        <v>368946.3</v>
      </c>
      <c r="D1574" s="486">
        <v>200</v>
      </c>
    </row>
    <row r="1575" spans="1:4" x14ac:dyDescent="0.2">
      <c r="A1575" s="344">
        <v>44571</v>
      </c>
      <c r="B1575" s="333">
        <f t="shared" si="15"/>
        <v>369146.3</v>
      </c>
      <c r="C1575" s="333">
        <f t="shared" ref="C1575:C1637" si="17">C1574</f>
        <v>368946.3</v>
      </c>
      <c r="D1575" s="486">
        <v>200</v>
      </c>
    </row>
    <row r="1576" spans="1:4" x14ac:dyDescent="0.2">
      <c r="A1576" s="344">
        <v>44572</v>
      </c>
      <c r="B1576" s="333">
        <f t="shared" si="15"/>
        <v>369146.3</v>
      </c>
      <c r="C1576" s="333">
        <f t="shared" si="17"/>
        <v>368946.3</v>
      </c>
      <c r="D1576" s="486">
        <v>200</v>
      </c>
    </row>
    <row r="1577" spans="1:4" x14ac:dyDescent="0.2">
      <c r="A1577" s="344">
        <v>44573</v>
      </c>
      <c r="B1577" s="333">
        <f t="shared" si="15"/>
        <v>369146.3</v>
      </c>
      <c r="C1577" s="333">
        <f t="shared" si="17"/>
        <v>368946.3</v>
      </c>
      <c r="D1577" s="486">
        <v>200</v>
      </c>
    </row>
    <row r="1578" spans="1:4" x14ac:dyDescent="0.2">
      <c r="A1578" s="344">
        <v>44574</v>
      </c>
      <c r="B1578" s="333">
        <f t="shared" si="15"/>
        <v>369318.3</v>
      </c>
      <c r="C1578" s="333">
        <v>369118.3</v>
      </c>
      <c r="D1578" s="486">
        <v>200</v>
      </c>
    </row>
    <row r="1579" spans="1:4" x14ac:dyDescent="0.2">
      <c r="A1579" s="344">
        <v>44575</v>
      </c>
      <c r="B1579" s="333">
        <f t="shared" si="15"/>
        <v>369357.16</v>
      </c>
      <c r="C1579" s="333">
        <v>369157.16</v>
      </c>
      <c r="D1579" s="486">
        <v>200</v>
      </c>
    </row>
    <row r="1580" spans="1:4" x14ac:dyDescent="0.2">
      <c r="A1580" s="344">
        <v>44578</v>
      </c>
      <c r="B1580" s="333">
        <f t="shared" si="15"/>
        <v>369357.16</v>
      </c>
      <c r="C1580" s="333">
        <f t="shared" si="17"/>
        <v>369157.16</v>
      </c>
      <c r="D1580" s="486">
        <v>200</v>
      </c>
    </row>
    <row r="1581" spans="1:4" x14ac:dyDescent="0.2">
      <c r="A1581" s="344">
        <v>44579</v>
      </c>
      <c r="B1581" s="333">
        <f t="shared" si="15"/>
        <v>328912.42</v>
      </c>
      <c r="C1581" s="333">
        <v>328712.42</v>
      </c>
      <c r="D1581" s="486">
        <v>200</v>
      </c>
    </row>
    <row r="1582" spans="1:4" x14ac:dyDescent="0.2">
      <c r="A1582" s="344">
        <v>44580</v>
      </c>
      <c r="B1582" s="333">
        <f t="shared" si="15"/>
        <v>324854.01</v>
      </c>
      <c r="C1582" s="333">
        <v>324654.01</v>
      </c>
      <c r="D1582" s="486">
        <v>200</v>
      </c>
    </row>
    <row r="1583" spans="1:4" x14ac:dyDescent="0.2">
      <c r="A1583" s="344">
        <v>44581</v>
      </c>
      <c r="B1583" s="333">
        <f t="shared" si="15"/>
        <v>373026.22</v>
      </c>
      <c r="C1583" s="333">
        <v>372826.22</v>
      </c>
      <c r="D1583" s="486">
        <v>200</v>
      </c>
    </row>
    <row r="1584" spans="1:4" ht="12.75" customHeight="1" x14ac:dyDescent="0.2">
      <c r="A1584" s="344">
        <v>44582</v>
      </c>
      <c r="B1584" s="333">
        <f t="shared" si="15"/>
        <v>372715.39</v>
      </c>
      <c r="C1584" s="333">
        <v>372515.39</v>
      </c>
      <c r="D1584" s="486">
        <v>200</v>
      </c>
    </row>
    <row r="1585" spans="1:4" x14ac:dyDescent="0.2">
      <c r="A1585" s="344">
        <v>44585</v>
      </c>
      <c r="B1585" s="333">
        <f t="shared" ref="B1585:B1648" si="18">C1585+D1585</f>
        <v>352413.78</v>
      </c>
      <c r="C1585" s="333">
        <v>352213.78</v>
      </c>
      <c r="D1585" s="486">
        <v>200</v>
      </c>
    </row>
    <row r="1586" spans="1:4" x14ac:dyDescent="0.2">
      <c r="A1586" s="344">
        <v>44586</v>
      </c>
      <c r="B1586" s="333">
        <f t="shared" si="18"/>
        <v>324543.71999999997</v>
      </c>
      <c r="C1586" s="333">
        <v>324343.71999999997</v>
      </c>
      <c r="D1586" s="486">
        <v>200</v>
      </c>
    </row>
    <row r="1587" spans="1:4" x14ac:dyDescent="0.2">
      <c r="A1587" s="344">
        <v>44587</v>
      </c>
      <c r="B1587" s="333">
        <f t="shared" si="18"/>
        <v>324510.76</v>
      </c>
      <c r="C1587" s="333">
        <v>324310.76</v>
      </c>
      <c r="D1587" s="486">
        <v>200</v>
      </c>
    </row>
    <row r="1588" spans="1:4" x14ac:dyDescent="0.2">
      <c r="A1588" s="344">
        <v>44588</v>
      </c>
      <c r="B1588" s="333">
        <f t="shared" si="18"/>
        <v>290902.11</v>
      </c>
      <c r="C1588" s="333">
        <v>290702.11</v>
      </c>
      <c r="D1588" s="486">
        <v>200</v>
      </c>
    </row>
    <row r="1589" spans="1:4" x14ac:dyDescent="0.2">
      <c r="A1589" s="344">
        <v>44589</v>
      </c>
      <c r="B1589" s="333">
        <f t="shared" si="18"/>
        <v>290902.11</v>
      </c>
      <c r="C1589" s="333">
        <f t="shared" si="17"/>
        <v>290702.11</v>
      </c>
      <c r="D1589" s="486">
        <v>200</v>
      </c>
    </row>
    <row r="1590" spans="1:4" x14ac:dyDescent="0.2">
      <c r="A1590" s="344">
        <v>44592</v>
      </c>
      <c r="B1590" s="333">
        <f t="shared" si="18"/>
        <v>309578.59999999998</v>
      </c>
      <c r="C1590" s="333">
        <v>309378.59999999998</v>
      </c>
      <c r="D1590" s="486">
        <v>200</v>
      </c>
    </row>
    <row r="1591" spans="1:4" x14ac:dyDescent="0.2">
      <c r="A1591" s="344">
        <v>44593</v>
      </c>
      <c r="B1591" s="333">
        <f t="shared" si="18"/>
        <v>292963.95</v>
      </c>
      <c r="C1591" s="333">
        <v>292763.95</v>
      </c>
      <c r="D1591" s="486">
        <v>200</v>
      </c>
    </row>
    <row r="1592" spans="1:4" x14ac:dyDescent="0.2">
      <c r="A1592" s="344">
        <v>44594</v>
      </c>
      <c r="B1592" s="333">
        <f t="shared" si="18"/>
        <v>345714.5</v>
      </c>
      <c r="C1592" s="333">
        <v>345514.5</v>
      </c>
      <c r="D1592" s="486">
        <v>200</v>
      </c>
    </row>
    <row r="1593" spans="1:4" x14ac:dyDescent="0.2">
      <c r="A1593" s="344">
        <v>44595</v>
      </c>
      <c r="B1593" s="333">
        <f t="shared" si="18"/>
        <v>344030.58</v>
      </c>
      <c r="C1593" s="333">
        <v>343830.58</v>
      </c>
      <c r="D1593" s="486">
        <v>200</v>
      </c>
    </row>
    <row r="1594" spans="1:4" x14ac:dyDescent="0.2">
      <c r="A1594" s="344">
        <v>44596</v>
      </c>
      <c r="B1594" s="333">
        <f t="shared" si="18"/>
        <v>387503.42</v>
      </c>
      <c r="C1594" s="333">
        <v>387303.42</v>
      </c>
      <c r="D1594" s="486">
        <v>200</v>
      </c>
    </row>
    <row r="1595" spans="1:4" x14ac:dyDescent="0.2">
      <c r="A1595" s="344">
        <v>44599</v>
      </c>
      <c r="B1595" s="333">
        <f t="shared" si="18"/>
        <v>387503.42</v>
      </c>
      <c r="C1595" s="333">
        <f t="shared" si="17"/>
        <v>387303.42</v>
      </c>
      <c r="D1595" s="486">
        <v>200</v>
      </c>
    </row>
    <row r="1596" spans="1:4" x14ac:dyDescent="0.2">
      <c r="A1596" s="344">
        <v>44600</v>
      </c>
      <c r="B1596" s="333">
        <f t="shared" si="18"/>
        <v>387503.42</v>
      </c>
      <c r="C1596" s="333">
        <f t="shared" si="17"/>
        <v>387303.42</v>
      </c>
      <c r="D1596" s="486">
        <v>200</v>
      </c>
    </row>
    <row r="1597" spans="1:4" x14ac:dyDescent="0.2">
      <c r="A1597" s="344">
        <v>44601</v>
      </c>
      <c r="B1597" s="333">
        <f t="shared" si="18"/>
        <v>387503.42</v>
      </c>
      <c r="C1597" s="333">
        <f t="shared" si="17"/>
        <v>387303.42</v>
      </c>
      <c r="D1597" s="486">
        <v>200</v>
      </c>
    </row>
    <row r="1598" spans="1:4" x14ac:dyDescent="0.2">
      <c r="A1598" s="344">
        <v>44602</v>
      </c>
      <c r="B1598" s="370">
        <f t="shared" si="18"/>
        <v>411517.59</v>
      </c>
      <c r="C1598" s="333">
        <v>411317.59</v>
      </c>
      <c r="D1598" s="486">
        <v>200</v>
      </c>
    </row>
    <row r="1599" spans="1:4" x14ac:dyDescent="0.2">
      <c r="A1599" s="344">
        <v>44603</v>
      </c>
      <c r="B1599" s="333">
        <f t="shared" si="18"/>
        <v>388476.71</v>
      </c>
      <c r="C1599" s="333">
        <v>388276.71</v>
      </c>
      <c r="D1599" s="486">
        <v>200</v>
      </c>
    </row>
    <row r="1600" spans="1:4" x14ac:dyDescent="0.2">
      <c r="A1600" s="344">
        <v>44606</v>
      </c>
      <c r="B1600" s="333">
        <f t="shared" si="18"/>
        <v>388476.71</v>
      </c>
      <c r="C1600" s="333">
        <f t="shared" si="17"/>
        <v>388276.71</v>
      </c>
      <c r="D1600" s="486">
        <v>200</v>
      </c>
    </row>
    <row r="1601" spans="1:4" x14ac:dyDescent="0.2">
      <c r="A1601" s="344">
        <v>44607</v>
      </c>
      <c r="B1601" s="333">
        <f t="shared" si="18"/>
        <v>350398.25</v>
      </c>
      <c r="C1601" s="333">
        <v>350198.25</v>
      </c>
      <c r="D1601" s="486">
        <v>200</v>
      </c>
    </row>
    <row r="1602" spans="1:4" x14ac:dyDescent="0.2">
      <c r="A1602" s="344">
        <v>44608</v>
      </c>
      <c r="B1602" s="333">
        <f t="shared" si="18"/>
        <v>350398.25</v>
      </c>
      <c r="C1602" s="333">
        <f t="shared" si="17"/>
        <v>350198.25</v>
      </c>
      <c r="D1602" s="486">
        <v>200</v>
      </c>
    </row>
    <row r="1603" spans="1:4" x14ac:dyDescent="0.2">
      <c r="A1603" s="344">
        <v>44609</v>
      </c>
      <c r="B1603" s="333">
        <f t="shared" si="18"/>
        <v>329726.17</v>
      </c>
      <c r="C1603" s="333">
        <v>329526.17</v>
      </c>
      <c r="D1603" s="486">
        <v>200</v>
      </c>
    </row>
    <row r="1604" spans="1:4" x14ac:dyDescent="0.2">
      <c r="A1604" s="344">
        <v>44610</v>
      </c>
      <c r="B1604" s="333">
        <f t="shared" si="18"/>
        <v>329566.19</v>
      </c>
      <c r="C1604" s="333">
        <v>329366.19</v>
      </c>
      <c r="D1604" s="486">
        <v>200</v>
      </c>
    </row>
    <row r="1605" spans="1:4" x14ac:dyDescent="0.2">
      <c r="A1605" s="344">
        <v>44613</v>
      </c>
      <c r="B1605" s="333">
        <f t="shared" si="18"/>
        <v>329566.19</v>
      </c>
      <c r="C1605" s="333">
        <f t="shared" si="17"/>
        <v>329366.19</v>
      </c>
      <c r="D1605" s="486">
        <v>200</v>
      </c>
    </row>
    <row r="1606" spans="1:4" x14ac:dyDescent="0.2">
      <c r="A1606" s="344">
        <v>44614</v>
      </c>
      <c r="B1606" s="333">
        <f t="shared" si="18"/>
        <v>329566.19</v>
      </c>
      <c r="C1606" s="333">
        <f t="shared" si="17"/>
        <v>329366.19</v>
      </c>
      <c r="D1606" s="486">
        <v>200</v>
      </c>
    </row>
    <row r="1607" spans="1:4" x14ac:dyDescent="0.2">
      <c r="A1607" s="344">
        <v>44615</v>
      </c>
      <c r="B1607" s="333">
        <f t="shared" si="18"/>
        <v>330827.17</v>
      </c>
      <c r="C1607" s="333">
        <v>330627.17</v>
      </c>
      <c r="D1607" s="486">
        <v>200</v>
      </c>
    </row>
    <row r="1608" spans="1:4" x14ac:dyDescent="0.2">
      <c r="A1608" s="344">
        <v>44616</v>
      </c>
      <c r="B1608" s="333">
        <f t="shared" si="18"/>
        <v>331382.17</v>
      </c>
      <c r="C1608" s="333">
        <v>331182.17</v>
      </c>
      <c r="D1608" s="486">
        <v>200</v>
      </c>
    </row>
    <row r="1609" spans="1:4" x14ac:dyDescent="0.2">
      <c r="A1609" s="344">
        <v>44617</v>
      </c>
      <c r="B1609" s="333">
        <f t="shared" si="18"/>
        <v>331382.17</v>
      </c>
      <c r="C1609" s="333">
        <f t="shared" si="17"/>
        <v>331182.17</v>
      </c>
      <c r="D1609" s="486">
        <v>200</v>
      </c>
    </row>
    <row r="1610" spans="1:4" x14ac:dyDescent="0.2">
      <c r="A1610" s="344">
        <v>44620</v>
      </c>
      <c r="B1610" s="333">
        <f t="shared" si="18"/>
        <v>331382.17</v>
      </c>
      <c r="C1610" s="333">
        <f t="shared" si="17"/>
        <v>331182.17</v>
      </c>
      <c r="D1610" s="486">
        <v>200</v>
      </c>
    </row>
    <row r="1611" spans="1:4" x14ac:dyDescent="0.2">
      <c r="A1611" s="344">
        <v>44621</v>
      </c>
      <c r="B1611" s="333">
        <f t="shared" si="18"/>
        <v>293888.99</v>
      </c>
      <c r="C1611" s="333">
        <v>293688.99</v>
      </c>
      <c r="D1611" s="486">
        <v>200</v>
      </c>
    </row>
    <row r="1612" spans="1:4" x14ac:dyDescent="0.2">
      <c r="A1612" s="344">
        <v>44622</v>
      </c>
      <c r="B1612" s="333">
        <f t="shared" si="18"/>
        <v>321342.32</v>
      </c>
      <c r="C1612" s="333">
        <v>321142.32</v>
      </c>
      <c r="D1612" s="486">
        <v>200</v>
      </c>
    </row>
    <row r="1613" spans="1:4" x14ac:dyDescent="0.2">
      <c r="A1613" s="344">
        <v>44623</v>
      </c>
      <c r="B1613" s="333">
        <f t="shared" si="18"/>
        <v>328875.55</v>
      </c>
      <c r="C1613" s="333">
        <v>328675.55</v>
      </c>
      <c r="D1613" s="486">
        <v>200</v>
      </c>
    </row>
    <row r="1614" spans="1:4" x14ac:dyDescent="0.2">
      <c r="A1614" s="344">
        <v>44624</v>
      </c>
      <c r="B1614" s="333">
        <f t="shared" si="18"/>
        <v>311978.17</v>
      </c>
      <c r="C1614" s="333">
        <v>311778.17</v>
      </c>
      <c r="D1614" s="486">
        <v>200</v>
      </c>
    </row>
    <row r="1615" spans="1:4" x14ac:dyDescent="0.2">
      <c r="A1615" s="344">
        <v>44627</v>
      </c>
      <c r="B1615" s="333">
        <f t="shared" si="18"/>
        <v>311978.17</v>
      </c>
      <c r="C1615" s="333">
        <f t="shared" si="17"/>
        <v>311778.17</v>
      </c>
      <c r="D1615" s="486">
        <v>200</v>
      </c>
    </row>
    <row r="1616" spans="1:4" x14ac:dyDescent="0.2">
      <c r="A1616" s="344">
        <v>44628</v>
      </c>
      <c r="B1616" s="333">
        <f t="shared" si="18"/>
        <v>323791.65000000002</v>
      </c>
      <c r="C1616" s="333">
        <v>323591.65000000002</v>
      </c>
      <c r="D1616" s="486">
        <v>200</v>
      </c>
    </row>
    <row r="1617" spans="1:4" x14ac:dyDescent="0.2">
      <c r="A1617" s="344">
        <v>44629</v>
      </c>
      <c r="B1617" s="333">
        <f t="shared" si="18"/>
        <v>323791.65000000002</v>
      </c>
      <c r="C1617" s="333">
        <f t="shared" si="17"/>
        <v>323591.65000000002</v>
      </c>
      <c r="D1617" s="486">
        <v>200</v>
      </c>
    </row>
    <row r="1618" spans="1:4" x14ac:dyDescent="0.2">
      <c r="A1618" s="344">
        <v>44630</v>
      </c>
      <c r="B1618" s="333">
        <f t="shared" si="18"/>
        <v>304395.95</v>
      </c>
      <c r="C1618" s="333">
        <v>304195.95</v>
      </c>
      <c r="D1618" s="486">
        <v>200</v>
      </c>
    </row>
    <row r="1619" spans="1:4" x14ac:dyDescent="0.2">
      <c r="A1619" s="344">
        <v>44631</v>
      </c>
      <c r="B1619" s="333">
        <f t="shared" si="18"/>
        <v>304395.95</v>
      </c>
      <c r="C1619" s="333">
        <f t="shared" si="17"/>
        <v>304195.95</v>
      </c>
      <c r="D1619" s="486">
        <v>200</v>
      </c>
    </row>
    <row r="1620" spans="1:4" x14ac:dyDescent="0.2">
      <c r="A1620" s="344">
        <v>44634</v>
      </c>
      <c r="B1620" s="333">
        <f t="shared" si="18"/>
        <v>304395.95</v>
      </c>
      <c r="C1620" s="333">
        <f t="shared" si="17"/>
        <v>304195.95</v>
      </c>
      <c r="D1620" s="486">
        <v>200</v>
      </c>
    </row>
    <row r="1621" spans="1:4" x14ac:dyDescent="0.2">
      <c r="A1621" s="344">
        <v>44635</v>
      </c>
      <c r="B1621" s="333">
        <f t="shared" si="18"/>
        <v>354177.58</v>
      </c>
      <c r="C1621" s="333">
        <v>353977.58</v>
      </c>
      <c r="D1621" s="486">
        <v>200</v>
      </c>
    </row>
    <row r="1622" spans="1:4" x14ac:dyDescent="0.2">
      <c r="A1622" s="344">
        <v>44636</v>
      </c>
      <c r="B1622" s="333">
        <f t="shared" si="18"/>
        <v>354177.58</v>
      </c>
      <c r="C1622" s="333">
        <f t="shared" si="17"/>
        <v>353977.58</v>
      </c>
      <c r="D1622" s="486">
        <v>200</v>
      </c>
    </row>
    <row r="1623" spans="1:4" x14ac:dyDescent="0.2">
      <c r="A1623" s="344">
        <v>44637</v>
      </c>
      <c r="B1623" s="333">
        <f t="shared" si="18"/>
        <v>272443</v>
      </c>
      <c r="C1623" s="333">
        <v>272243</v>
      </c>
      <c r="D1623" s="486">
        <v>200</v>
      </c>
    </row>
    <row r="1624" spans="1:4" x14ac:dyDescent="0.2">
      <c r="A1624" s="344">
        <v>44638</v>
      </c>
      <c r="B1624" s="333">
        <f t="shared" si="18"/>
        <v>271968.02</v>
      </c>
      <c r="C1624" s="333">
        <v>271768.02</v>
      </c>
      <c r="D1624" s="486">
        <v>200</v>
      </c>
    </row>
    <row r="1625" spans="1:4" x14ac:dyDescent="0.2">
      <c r="A1625" s="344">
        <v>44641</v>
      </c>
      <c r="B1625" s="333">
        <f t="shared" si="18"/>
        <v>287143.02</v>
      </c>
      <c r="C1625" s="333">
        <v>286943.02</v>
      </c>
      <c r="D1625" s="486">
        <v>200</v>
      </c>
    </row>
    <row r="1626" spans="1:4" x14ac:dyDescent="0.2">
      <c r="A1626" s="344">
        <v>44642</v>
      </c>
      <c r="B1626" s="333">
        <f t="shared" si="18"/>
        <v>287143.02</v>
      </c>
      <c r="C1626" s="333">
        <f t="shared" si="17"/>
        <v>286943.02</v>
      </c>
      <c r="D1626" s="486">
        <v>200</v>
      </c>
    </row>
    <row r="1627" spans="1:4" x14ac:dyDescent="0.2">
      <c r="A1627" s="344">
        <v>44643</v>
      </c>
      <c r="B1627" s="333">
        <f t="shared" si="18"/>
        <v>171561.3</v>
      </c>
      <c r="C1627" s="333">
        <v>171361.3</v>
      </c>
      <c r="D1627" s="486">
        <v>200</v>
      </c>
    </row>
    <row r="1628" spans="1:4" x14ac:dyDescent="0.2">
      <c r="A1628" s="344">
        <v>44644</v>
      </c>
      <c r="B1628" s="333">
        <f t="shared" si="18"/>
        <v>171561.3</v>
      </c>
      <c r="C1628" s="333">
        <f t="shared" si="17"/>
        <v>171361.3</v>
      </c>
      <c r="D1628" s="486">
        <v>200</v>
      </c>
    </row>
    <row r="1629" spans="1:4" x14ac:dyDescent="0.2">
      <c r="A1629" s="344">
        <v>44645</v>
      </c>
      <c r="B1629" s="333">
        <f t="shared" si="18"/>
        <v>194069.16</v>
      </c>
      <c r="C1629" s="333">
        <v>193869.16</v>
      </c>
      <c r="D1629" s="486">
        <v>200</v>
      </c>
    </row>
    <row r="1630" spans="1:4" x14ac:dyDescent="0.2">
      <c r="A1630" s="344">
        <v>44648</v>
      </c>
      <c r="B1630" s="333">
        <f t="shared" si="18"/>
        <v>184965.34</v>
      </c>
      <c r="C1630" s="333">
        <v>184765.34</v>
      </c>
      <c r="D1630" s="486">
        <v>200</v>
      </c>
    </row>
    <row r="1631" spans="1:4" x14ac:dyDescent="0.2">
      <c r="A1631" s="344">
        <v>44649</v>
      </c>
      <c r="B1631" s="333">
        <f t="shared" si="18"/>
        <v>140741.59</v>
      </c>
      <c r="C1631" s="333">
        <v>140541.59</v>
      </c>
      <c r="D1631" s="486">
        <v>200</v>
      </c>
    </row>
    <row r="1632" spans="1:4" x14ac:dyDescent="0.2">
      <c r="A1632" s="344">
        <v>44650</v>
      </c>
      <c r="B1632" s="370">
        <f t="shared" si="18"/>
        <v>140708.63</v>
      </c>
      <c r="C1632" s="333">
        <v>140508.63</v>
      </c>
      <c r="D1632" s="486">
        <v>200</v>
      </c>
    </row>
    <row r="1633" spans="1:4" x14ac:dyDescent="0.2">
      <c r="A1633" s="344">
        <v>44651</v>
      </c>
      <c r="B1633" s="333">
        <f t="shared" si="18"/>
        <v>281239.25</v>
      </c>
      <c r="C1633" s="333">
        <v>281039.25</v>
      </c>
      <c r="D1633" s="486">
        <v>200</v>
      </c>
    </row>
    <row r="1634" spans="1:4" x14ac:dyDescent="0.2">
      <c r="A1634" s="344">
        <v>44652</v>
      </c>
      <c r="B1634" s="333">
        <f t="shared" si="18"/>
        <v>283716.02</v>
      </c>
      <c r="C1634" s="333">
        <v>283516.02</v>
      </c>
      <c r="D1634" s="486">
        <v>200</v>
      </c>
    </row>
    <row r="1635" spans="1:4" x14ac:dyDescent="0.2">
      <c r="A1635" s="344">
        <v>44655</v>
      </c>
      <c r="B1635" s="333">
        <f t="shared" si="18"/>
        <v>283716.02</v>
      </c>
      <c r="C1635" s="333">
        <f t="shared" si="17"/>
        <v>283516.02</v>
      </c>
      <c r="D1635" s="486">
        <v>200</v>
      </c>
    </row>
    <row r="1636" spans="1:4" x14ac:dyDescent="0.2">
      <c r="A1636" s="344">
        <v>44656</v>
      </c>
      <c r="B1636" s="333">
        <f t="shared" si="18"/>
        <v>300477.89</v>
      </c>
      <c r="C1636" s="333">
        <v>300277.89</v>
      </c>
      <c r="D1636" s="486">
        <v>200</v>
      </c>
    </row>
    <row r="1637" spans="1:4" x14ac:dyDescent="0.2">
      <c r="A1637" s="344">
        <v>44657</v>
      </c>
      <c r="B1637" s="333">
        <f t="shared" si="18"/>
        <v>300477.89</v>
      </c>
      <c r="C1637" s="333">
        <f t="shared" si="17"/>
        <v>300277.89</v>
      </c>
      <c r="D1637" s="486">
        <v>200</v>
      </c>
    </row>
    <row r="1638" spans="1:4" x14ac:dyDescent="0.2">
      <c r="A1638" s="344">
        <v>44658</v>
      </c>
      <c r="B1638" s="333">
        <f t="shared" si="18"/>
        <v>301029.09000000003</v>
      </c>
      <c r="C1638" s="333">
        <v>300829.09000000003</v>
      </c>
      <c r="D1638" s="486">
        <v>200</v>
      </c>
    </row>
    <row r="1639" spans="1:4" x14ac:dyDescent="0.2">
      <c r="A1639" s="344">
        <v>44659</v>
      </c>
      <c r="B1639" s="333">
        <f t="shared" si="18"/>
        <v>296794.44</v>
      </c>
      <c r="C1639" s="333">
        <v>296594.44</v>
      </c>
      <c r="D1639" s="486">
        <v>200</v>
      </c>
    </row>
    <row r="1640" spans="1:4" x14ac:dyDescent="0.2">
      <c r="A1640" s="344">
        <v>44662</v>
      </c>
      <c r="B1640" s="333">
        <f t="shared" si="18"/>
        <v>296989.44</v>
      </c>
      <c r="C1640" s="333">
        <v>296789.44</v>
      </c>
      <c r="D1640" s="486">
        <v>200</v>
      </c>
    </row>
    <row r="1641" spans="1:4" x14ac:dyDescent="0.2">
      <c r="A1641" s="344">
        <v>44663</v>
      </c>
      <c r="B1641" s="333">
        <f t="shared" si="18"/>
        <v>274755.46000000002</v>
      </c>
      <c r="C1641" s="333">
        <v>274555.46000000002</v>
      </c>
      <c r="D1641" s="486">
        <v>200</v>
      </c>
    </row>
    <row r="1642" spans="1:4" x14ac:dyDescent="0.2">
      <c r="A1642" s="344">
        <v>44664</v>
      </c>
      <c r="B1642" s="333">
        <f t="shared" si="18"/>
        <v>274755.46000000002</v>
      </c>
      <c r="C1642" s="333">
        <f t="shared" ref="C1642:C1656" si="19">C1641</f>
        <v>274555.46000000002</v>
      </c>
      <c r="D1642" s="486">
        <v>200</v>
      </c>
    </row>
    <row r="1643" spans="1:4" x14ac:dyDescent="0.2">
      <c r="A1643" s="344">
        <v>44665</v>
      </c>
      <c r="B1643" s="333">
        <f t="shared" si="18"/>
        <v>273817.88</v>
      </c>
      <c r="C1643" s="333">
        <v>273617.88</v>
      </c>
      <c r="D1643" s="486">
        <v>200</v>
      </c>
    </row>
    <row r="1644" spans="1:4" x14ac:dyDescent="0.2">
      <c r="A1644" s="344">
        <v>44666</v>
      </c>
      <c r="B1644" s="333">
        <f t="shared" si="18"/>
        <v>273375.03999999998</v>
      </c>
      <c r="C1644" s="333">
        <v>273175.03999999998</v>
      </c>
      <c r="D1644" s="486">
        <v>200</v>
      </c>
    </row>
    <row r="1645" spans="1:4" x14ac:dyDescent="0.2">
      <c r="A1645" s="344">
        <v>44669</v>
      </c>
      <c r="B1645" s="333">
        <f t="shared" si="18"/>
        <v>306978.36</v>
      </c>
      <c r="C1645" s="333">
        <v>306778.36</v>
      </c>
      <c r="D1645" s="486">
        <v>200</v>
      </c>
    </row>
    <row r="1646" spans="1:4" x14ac:dyDescent="0.2">
      <c r="A1646" s="344">
        <v>44670</v>
      </c>
      <c r="B1646" s="333">
        <f t="shared" si="18"/>
        <v>306978.36</v>
      </c>
      <c r="C1646" s="333">
        <f t="shared" si="19"/>
        <v>306778.36</v>
      </c>
      <c r="D1646" s="486">
        <v>200</v>
      </c>
    </row>
    <row r="1647" spans="1:4" x14ac:dyDescent="0.2">
      <c r="A1647" s="344">
        <v>44671</v>
      </c>
      <c r="B1647" s="333">
        <f t="shared" si="18"/>
        <v>266613.8</v>
      </c>
      <c r="C1647" s="333">
        <v>266413.8</v>
      </c>
      <c r="D1647" s="486">
        <v>200</v>
      </c>
    </row>
    <row r="1648" spans="1:4" x14ac:dyDescent="0.2">
      <c r="A1648" s="344">
        <v>44672</v>
      </c>
      <c r="B1648" s="333">
        <f t="shared" si="18"/>
        <v>271958.33</v>
      </c>
      <c r="C1648" s="333">
        <v>271758.33</v>
      </c>
      <c r="D1648" s="486">
        <v>200</v>
      </c>
    </row>
    <row r="1649" spans="1:4" x14ac:dyDescent="0.2">
      <c r="A1649" s="344">
        <v>44673</v>
      </c>
      <c r="B1649" s="333">
        <f t="shared" ref="B1649:B1655" si="20">C1649+D1649</f>
        <v>271799.48</v>
      </c>
      <c r="C1649" s="333">
        <v>271599.48</v>
      </c>
      <c r="D1649" s="486">
        <v>200</v>
      </c>
    </row>
    <row r="1650" spans="1:4" x14ac:dyDescent="0.2">
      <c r="A1650" s="344">
        <v>44676</v>
      </c>
      <c r="B1650" s="333">
        <f t="shared" si="20"/>
        <v>271799.48</v>
      </c>
      <c r="C1650" s="333">
        <f t="shared" si="19"/>
        <v>271599.48</v>
      </c>
      <c r="D1650" s="486">
        <v>200</v>
      </c>
    </row>
    <row r="1651" spans="1:4" x14ac:dyDescent="0.2">
      <c r="A1651" s="344">
        <v>44677</v>
      </c>
      <c r="B1651" s="333">
        <f t="shared" si="20"/>
        <v>231449.55</v>
      </c>
      <c r="C1651" s="333">
        <v>231249.55</v>
      </c>
      <c r="D1651" s="486">
        <v>200</v>
      </c>
    </row>
    <row r="1652" spans="1:4" x14ac:dyDescent="0.2">
      <c r="A1652" s="344">
        <v>44678</v>
      </c>
      <c r="B1652" s="333">
        <f t="shared" si="20"/>
        <v>255926.54</v>
      </c>
      <c r="C1652" s="333">
        <v>255726.54</v>
      </c>
      <c r="D1652" s="486">
        <v>200</v>
      </c>
    </row>
    <row r="1653" spans="1:4" x14ac:dyDescent="0.2">
      <c r="A1653" s="344">
        <v>44679</v>
      </c>
      <c r="B1653" s="333">
        <f t="shared" si="20"/>
        <v>256457.54</v>
      </c>
      <c r="C1653" s="333">
        <v>256257.54</v>
      </c>
      <c r="D1653" s="486">
        <v>200</v>
      </c>
    </row>
    <row r="1654" spans="1:4" x14ac:dyDescent="0.2">
      <c r="A1654" s="344">
        <v>44680</v>
      </c>
      <c r="B1654" s="333">
        <f t="shared" si="20"/>
        <v>255982.56</v>
      </c>
      <c r="C1654" s="333">
        <v>255782.56</v>
      </c>
      <c r="D1654" s="486">
        <v>200</v>
      </c>
    </row>
    <row r="1655" spans="1:4" x14ac:dyDescent="0.2">
      <c r="A1655" s="344">
        <v>44683</v>
      </c>
      <c r="B1655" s="333">
        <f t="shared" si="20"/>
        <v>255982.56</v>
      </c>
      <c r="C1655" s="333">
        <f t="shared" si="19"/>
        <v>255782.56</v>
      </c>
      <c r="D1655" s="486">
        <v>200</v>
      </c>
    </row>
    <row r="1656" spans="1:4" x14ac:dyDescent="0.2">
      <c r="A1656" s="344">
        <v>44684</v>
      </c>
      <c r="B1656" s="333">
        <f t="shared" ref="B1656:B1659" si="21">C1656+D1656</f>
        <v>255982.56</v>
      </c>
      <c r="C1656" s="333">
        <f t="shared" si="19"/>
        <v>255782.56</v>
      </c>
      <c r="D1656" s="486">
        <v>200</v>
      </c>
    </row>
    <row r="1657" spans="1:4" x14ac:dyDescent="0.2">
      <c r="A1657" s="344">
        <v>44685</v>
      </c>
      <c r="B1657" s="333">
        <f t="shared" si="21"/>
        <v>237408.49</v>
      </c>
      <c r="C1657" s="333">
        <v>237208.49</v>
      </c>
      <c r="D1657" s="486">
        <v>200</v>
      </c>
    </row>
    <row r="1658" spans="1:4" x14ac:dyDescent="0.2">
      <c r="A1658" s="344">
        <v>44686</v>
      </c>
      <c r="B1658" s="333">
        <f t="shared" si="21"/>
        <v>237595.16</v>
      </c>
      <c r="C1658" s="333">
        <v>237395.16</v>
      </c>
      <c r="D1658" s="486">
        <v>200</v>
      </c>
    </row>
    <row r="1659" spans="1:4" x14ac:dyDescent="0.2">
      <c r="A1659" s="344">
        <v>44687</v>
      </c>
      <c r="B1659" s="333">
        <f t="shared" si="21"/>
        <v>237595.16</v>
      </c>
      <c r="C1659" s="333">
        <f>C1658</f>
        <v>237395.16</v>
      </c>
      <c r="D1659" s="486">
        <v>200</v>
      </c>
    </row>
    <row r="1660" spans="1:4" x14ac:dyDescent="0.2">
      <c r="A1660" s="344">
        <v>44690</v>
      </c>
      <c r="B1660" s="333">
        <f t="shared" ref="B1660:B1664" si="22">C1660+D1660</f>
        <v>237595.16</v>
      </c>
      <c r="C1660" s="333">
        <f>C1659</f>
        <v>237395.16</v>
      </c>
      <c r="D1660" s="486">
        <v>200</v>
      </c>
    </row>
    <row r="1661" spans="1:4" x14ac:dyDescent="0.2">
      <c r="A1661" s="344">
        <v>44691</v>
      </c>
      <c r="B1661" s="333">
        <f t="shared" si="22"/>
        <v>198176.08</v>
      </c>
      <c r="C1661" s="333">
        <v>197976.08</v>
      </c>
      <c r="D1661" s="486">
        <v>200</v>
      </c>
    </row>
    <row r="1662" spans="1:4" x14ac:dyDescent="0.2">
      <c r="A1662" s="344">
        <v>44692</v>
      </c>
      <c r="B1662" s="333">
        <f t="shared" si="22"/>
        <v>206509.41</v>
      </c>
      <c r="C1662" s="333">
        <v>206309.41</v>
      </c>
      <c r="D1662" s="486">
        <v>200</v>
      </c>
    </row>
    <row r="1663" spans="1:4" x14ac:dyDescent="0.2">
      <c r="A1663" s="344">
        <v>44693</v>
      </c>
      <c r="B1663" s="333">
        <f t="shared" si="22"/>
        <v>196309.39</v>
      </c>
      <c r="C1663" s="333">
        <v>196109.39</v>
      </c>
      <c r="D1663" s="486">
        <v>200</v>
      </c>
    </row>
    <row r="1664" spans="1:4" x14ac:dyDescent="0.2">
      <c r="A1664" s="344">
        <v>44694</v>
      </c>
      <c r="B1664" s="333">
        <f t="shared" si="22"/>
        <v>217592.12</v>
      </c>
      <c r="C1664" s="333">
        <v>217392.12</v>
      </c>
      <c r="D1664" s="486">
        <v>200</v>
      </c>
    </row>
    <row r="1665" spans="1:4" x14ac:dyDescent="0.2">
      <c r="A1665" s="344">
        <v>44697</v>
      </c>
      <c r="B1665" s="333">
        <f t="shared" ref="B1665:B1801" si="23">C1665+D1665</f>
        <v>217592.12</v>
      </c>
      <c r="C1665" s="333">
        <f t="shared" ref="C1665:C1707" si="24">C1664</f>
        <v>217392.12</v>
      </c>
      <c r="D1665" s="486">
        <v>200</v>
      </c>
    </row>
    <row r="1666" spans="1:4" x14ac:dyDescent="0.2">
      <c r="A1666" s="344">
        <v>44698</v>
      </c>
      <c r="B1666" s="333">
        <f t="shared" si="23"/>
        <v>217592.12</v>
      </c>
      <c r="C1666" s="333">
        <f t="shared" si="24"/>
        <v>217392.12</v>
      </c>
      <c r="D1666" s="486">
        <v>200</v>
      </c>
    </row>
    <row r="1667" spans="1:4" x14ac:dyDescent="0.2">
      <c r="A1667" s="344">
        <v>44699</v>
      </c>
      <c r="B1667" s="333">
        <f t="shared" si="23"/>
        <v>217592.12</v>
      </c>
      <c r="C1667" s="333">
        <f t="shared" si="24"/>
        <v>217392.12</v>
      </c>
      <c r="D1667" s="486">
        <v>200</v>
      </c>
    </row>
    <row r="1668" spans="1:4" x14ac:dyDescent="0.2">
      <c r="A1668" s="344">
        <v>44700</v>
      </c>
      <c r="B1668" s="333">
        <f t="shared" si="23"/>
        <v>221731.08</v>
      </c>
      <c r="C1668" s="333">
        <v>221531.08</v>
      </c>
      <c r="D1668" s="486">
        <v>200</v>
      </c>
    </row>
    <row r="1669" spans="1:4" x14ac:dyDescent="0.2">
      <c r="A1669" s="344">
        <v>44701</v>
      </c>
      <c r="B1669" s="333">
        <f t="shared" si="23"/>
        <v>217798.74</v>
      </c>
      <c r="C1669" s="333">
        <v>217598.74</v>
      </c>
      <c r="D1669" s="486">
        <v>200</v>
      </c>
    </row>
    <row r="1670" spans="1:4" x14ac:dyDescent="0.2">
      <c r="A1670" s="344">
        <v>44704</v>
      </c>
      <c r="B1670" s="333">
        <f t="shared" si="23"/>
        <v>176485.8</v>
      </c>
      <c r="C1670" s="333">
        <v>176285.8</v>
      </c>
      <c r="D1670" s="486">
        <v>200</v>
      </c>
    </row>
    <row r="1671" spans="1:4" x14ac:dyDescent="0.2">
      <c r="A1671" s="344">
        <v>44705</v>
      </c>
      <c r="B1671" s="333">
        <f t="shared" si="23"/>
        <v>176485.8</v>
      </c>
      <c r="C1671" s="333">
        <f t="shared" si="24"/>
        <v>176285.8</v>
      </c>
      <c r="D1671" s="486">
        <v>200</v>
      </c>
    </row>
    <row r="1672" spans="1:4" x14ac:dyDescent="0.2">
      <c r="A1672" s="344">
        <v>44706</v>
      </c>
      <c r="B1672" s="333">
        <f t="shared" si="23"/>
        <v>176485.8</v>
      </c>
      <c r="C1672" s="333">
        <f t="shared" si="24"/>
        <v>176285.8</v>
      </c>
      <c r="D1672" s="486">
        <v>200</v>
      </c>
    </row>
    <row r="1673" spans="1:4" x14ac:dyDescent="0.2">
      <c r="A1673" s="344">
        <v>44707</v>
      </c>
      <c r="B1673" s="333">
        <f t="shared" si="23"/>
        <v>317719.40999999997</v>
      </c>
      <c r="C1673" s="333">
        <v>317519.40999999997</v>
      </c>
      <c r="D1673" s="486">
        <v>200</v>
      </c>
    </row>
    <row r="1674" spans="1:4" x14ac:dyDescent="0.2">
      <c r="A1674" s="344">
        <v>44708</v>
      </c>
      <c r="B1674" s="333">
        <f t="shared" si="23"/>
        <v>317244.43</v>
      </c>
      <c r="C1674" s="333">
        <v>317044.43</v>
      </c>
      <c r="D1674" s="486">
        <v>200</v>
      </c>
    </row>
    <row r="1675" spans="1:4" x14ac:dyDescent="0.2">
      <c r="A1675" s="344">
        <v>44711</v>
      </c>
      <c r="B1675" s="333">
        <f t="shared" si="23"/>
        <v>317244.43</v>
      </c>
      <c r="C1675" s="333">
        <f t="shared" si="24"/>
        <v>317044.43</v>
      </c>
      <c r="D1675" s="486">
        <v>200</v>
      </c>
    </row>
    <row r="1676" spans="1:4" x14ac:dyDescent="0.2">
      <c r="A1676" s="344">
        <v>44712</v>
      </c>
      <c r="B1676" s="333">
        <f t="shared" si="23"/>
        <v>317244.43</v>
      </c>
      <c r="C1676" s="333">
        <f t="shared" si="24"/>
        <v>317044.43</v>
      </c>
      <c r="D1676" s="486">
        <v>200</v>
      </c>
    </row>
    <row r="1677" spans="1:4" x14ac:dyDescent="0.2">
      <c r="A1677" s="344">
        <v>44713</v>
      </c>
      <c r="B1677" s="333">
        <f t="shared" si="23"/>
        <v>317244.43</v>
      </c>
      <c r="C1677" s="333">
        <f t="shared" si="24"/>
        <v>317044.43</v>
      </c>
      <c r="D1677" s="486">
        <v>200</v>
      </c>
    </row>
    <row r="1678" spans="1:4" x14ac:dyDescent="0.2">
      <c r="A1678" s="344">
        <v>44714</v>
      </c>
      <c r="B1678" s="333">
        <f t="shared" si="23"/>
        <v>317244.43</v>
      </c>
      <c r="C1678" s="333">
        <f t="shared" si="24"/>
        <v>317044.43</v>
      </c>
      <c r="D1678" s="486">
        <v>200</v>
      </c>
    </row>
    <row r="1679" spans="1:4" x14ac:dyDescent="0.2">
      <c r="A1679" s="344">
        <v>44715</v>
      </c>
      <c r="B1679" s="333">
        <f t="shared" si="23"/>
        <v>311632.77</v>
      </c>
      <c r="C1679" s="333">
        <v>311432.77</v>
      </c>
      <c r="D1679" s="486">
        <v>200</v>
      </c>
    </row>
    <row r="1680" spans="1:4" x14ac:dyDescent="0.2">
      <c r="A1680" s="344">
        <v>44718</v>
      </c>
      <c r="B1680" s="333">
        <f t="shared" si="23"/>
        <v>311632.77</v>
      </c>
      <c r="C1680" s="333">
        <f t="shared" si="24"/>
        <v>311432.77</v>
      </c>
      <c r="D1680" s="486">
        <v>200</v>
      </c>
    </row>
    <row r="1681" spans="1:4" x14ac:dyDescent="0.2">
      <c r="A1681" s="344">
        <v>44719</v>
      </c>
      <c r="B1681" s="333">
        <f t="shared" si="23"/>
        <v>272576.3</v>
      </c>
      <c r="C1681" s="333">
        <v>272376.3</v>
      </c>
      <c r="D1681" s="486">
        <v>200</v>
      </c>
    </row>
    <row r="1682" spans="1:4" x14ac:dyDescent="0.2">
      <c r="A1682" s="344">
        <v>44720</v>
      </c>
      <c r="B1682" s="333">
        <f t="shared" si="23"/>
        <v>272576.3</v>
      </c>
      <c r="C1682" s="333">
        <f t="shared" si="24"/>
        <v>272376.3</v>
      </c>
      <c r="D1682" s="486">
        <v>200</v>
      </c>
    </row>
    <row r="1683" spans="1:4" x14ac:dyDescent="0.2">
      <c r="A1683" s="344">
        <v>44721</v>
      </c>
      <c r="B1683" s="333">
        <f t="shared" si="23"/>
        <v>262789.33</v>
      </c>
      <c r="C1683" s="333">
        <v>262589.33</v>
      </c>
      <c r="D1683" s="486">
        <v>200</v>
      </c>
    </row>
    <row r="1684" spans="1:4" x14ac:dyDescent="0.2">
      <c r="A1684" s="344">
        <v>44722</v>
      </c>
      <c r="B1684" s="333">
        <f t="shared" si="23"/>
        <v>262314.34999999998</v>
      </c>
      <c r="C1684" s="333">
        <v>262114.35</v>
      </c>
      <c r="D1684" s="486">
        <v>200</v>
      </c>
    </row>
    <row r="1685" spans="1:4" x14ac:dyDescent="0.2">
      <c r="A1685" s="344">
        <v>44725</v>
      </c>
      <c r="B1685" s="333">
        <f t="shared" si="23"/>
        <v>262577.34999999998</v>
      </c>
      <c r="C1685" s="333">
        <v>262377.34999999998</v>
      </c>
      <c r="D1685" s="486">
        <v>200</v>
      </c>
    </row>
    <row r="1686" spans="1:4" x14ac:dyDescent="0.2">
      <c r="A1686" s="344">
        <v>44726</v>
      </c>
      <c r="B1686" s="333">
        <f t="shared" si="23"/>
        <v>262577.34999999998</v>
      </c>
      <c r="C1686" s="333">
        <f t="shared" si="24"/>
        <v>262377.34999999998</v>
      </c>
      <c r="D1686" s="486">
        <v>200</v>
      </c>
    </row>
    <row r="1687" spans="1:4" x14ac:dyDescent="0.2">
      <c r="A1687" s="344">
        <v>44727</v>
      </c>
      <c r="B1687" s="333">
        <f t="shared" si="23"/>
        <v>359115.13</v>
      </c>
      <c r="C1687" s="333">
        <v>358915.13</v>
      </c>
      <c r="D1687" s="486">
        <v>200</v>
      </c>
    </row>
    <row r="1688" spans="1:4" x14ac:dyDescent="0.2">
      <c r="A1688" s="344">
        <v>44728</v>
      </c>
      <c r="B1688" s="333">
        <f t="shared" si="23"/>
        <v>359115.13</v>
      </c>
      <c r="C1688" s="333">
        <f t="shared" si="24"/>
        <v>358915.13</v>
      </c>
      <c r="D1688" s="486">
        <v>200</v>
      </c>
    </row>
    <row r="1689" spans="1:4" x14ac:dyDescent="0.2">
      <c r="A1689" s="344">
        <v>44729</v>
      </c>
      <c r="B1689" s="333">
        <f t="shared" si="23"/>
        <v>359115.13</v>
      </c>
      <c r="C1689" s="333">
        <f t="shared" si="24"/>
        <v>358915.13</v>
      </c>
      <c r="D1689" s="486">
        <v>200</v>
      </c>
    </row>
    <row r="1690" spans="1:4" x14ac:dyDescent="0.2">
      <c r="A1690" s="344">
        <v>44732</v>
      </c>
      <c r="B1690" s="333">
        <f t="shared" si="23"/>
        <v>317912.34000000003</v>
      </c>
      <c r="C1690" s="333">
        <v>317712.34000000003</v>
      </c>
      <c r="D1690" s="486">
        <v>200</v>
      </c>
    </row>
    <row r="1691" spans="1:4" x14ac:dyDescent="0.2">
      <c r="A1691" s="344">
        <v>44733</v>
      </c>
      <c r="B1691" s="333">
        <f t="shared" si="23"/>
        <v>318373.34000000003</v>
      </c>
      <c r="C1691" s="333">
        <v>318173.34000000003</v>
      </c>
      <c r="D1691" s="486">
        <v>200</v>
      </c>
    </row>
    <row r="1692" spans="1:4" x14ac:dyDescent="0.2">
      <c r="A1692" s="344">
        <v>44734</v>
      </c>
      <c r="B1692" s="333">
        <f t="shared" si="23"/>
        <v>319350.08</v>
      </c>
      <c r="C1692" s="333">
        <v>319150.08000000002</v>
      </c>
      <c r="D1692" s="486">
        <v>200</v>
      </c>
    </row>
    <row r="1693" spans="1:4" x14ac:dyDescent="0.2">
      <c r="A1693" s="344">
        <v>44735</v>
      </c>
      <c r="B1693" s="333">
        <f t="shared" si="23"/>
        <v>329131.38</v>
      </c>
      <c r="C1693" s="333">
        <v>328931.38</v>
      </c>
      <c r="D1693" s="486">
        <v>200</v>
      </c>
    </row>
    <row r="1694" spans="1:4" x14ac:dyDescent="0.2">
      <c r="A1694" s="344">
        <v>44736</v>
      </c>
      <c r="B1694" s="333">
        <f t="shared" si="23"/>
        <v>329131.38</v>
      </c>
      <c r="C1694" s="333">
        <f t="shared" si="24"/>
        <v>328931.38</v>
      </c>
      <c r="D1694" s="486">
        <v>200</v>
      </c>
    </row>
    <row r="1695" spans="1:4" x14ac:dyDescent="0.2">
      <c r="A1695" s="344">
        <v>44739</v>
      </c>
      <c r="B1695" s="333">
        <f t="shared" si="23"/>
        <v>329131.38</v>
      </c>
      <c r="C1695" s="333">
        <f t="shared" si="24"/>
        <v>328931.38</v>
      </c>
      <c r="D1695" s="486">
        <v>200</v>
      </c>
    </row>
    <row r="1696" spans="1:4" x14ac:dyDescent="0.2">
      <c r="A1696" s="344">
        <v>44740</v>
      </c>
      <c r="B1696" s="333">
        <f t="shared" si="23"/>
        <v>329131.38</v>
      </c>
      <c r="C1696" s="333">
        <f t="shared" si="24"/>
        <v>328931.38</v>
      </c>
      <c r="D1696" s="486">
        <v>200</v>
      </c>
    </row>
    <row r="1697" spans="1:4" x14ac:dyDescent="0.2">
      <c r="A1697" s="344">
        <v>44741</v>
      </c>
      <c r="B1697" s="333">
        <f t="shared" si="23"/>
        <v>358518.98</v>
      </c>
      <c r="C1697" s="333">
        <v>358318.98</v>
      </c>
      <c r="D1697" s="486">
        <v>200</v>
      </c>
    </row>
    <row r="1698" spans="1:4" x14ac:dyDescent="0.2">
      <c r="A1698" s="344">
        <v>44742</v>
      </c>
      <c r="B1698" s="333">
        <f t="shared" si="23"/>
        <v>388026.98</v>
      </c>
      <c r="C1698" s="333">
        <v>387826.98</v>
      </c>
      <c r="D1698" s="486">
        <v>200</v>
      </c>
    </row>
    <row r="1699" spans="1:4" x14ac:dyDescent="0.2">
      <c r="A1699" s="344">
        <v>44743</v>
      </c>
      <c r="B1699" s="333">
        <f t="shared" si="23"/>
        <v>388026.98</v>
      </c>
      <c r="C1699" s="333">
        <f t="shared" si="24"/>
        <v>387826.98</v>
      </c>
      <c r="D1699" s="486">
        <v>200</v>
      </c>
    </row>
    <row r="1700" spans="1:4" x14ac:dyDescent="0.2">
      <c r="A1700" s="344">
        <v>44746</v>
      </c>
      <c r="B1700" s="333">
        <f t="shared" si="23"/>
        <v>388026.98</v>
      </c>
      <c r="C1700" s="333">
        <f t="shared" si="24"/>
        <v>387826.98</v>
      </c>
      <c r="D1700" s="486">
        <v>200</v>
      </c>
    </row>
    <row r="1701" spans="1:4" x14ac:dyDescent="0.2">
      <c r="A1701" s="344">
        <v>44747</v>
      </c>
      <c r="B1701" s="333">
        <f t="shared" si="23"/>
        <v>347383.35</v>
      </c>
      <c r="C1701" s="333">
        <v>347183.35</v>
      </c>
      <c r="D1701" s="486">
        <v>200</v>
      </c>
    </row>
    <row r="1702" spans="1:4" x14ac:dyDescent="0.2">
      <c r="A1702" s="344">
        <v>44748</v>
      </c>
      <c r="B1702" s="333">
        <f t="shared" si="23"/>
        <v>347507.35</v>
      </c>
      <c r="C1702" s="333">
        <v>347307.35</v>
      </c>
      <c r="D1702" s="486">
        <v>200</v>
      </c>
    </row>
    <row r="1703" spans="1:4" x14ac:dyDescent="0.2">
      <c r="A1703" s="344">
        <v>44749</v>
      </c>
      <c r="B1703" s="333">
        <f t="shared" si="23"/>
        <v>347648.35</v>
      </c>
      <c r="C1703" s="333">
        <v>347448.35</v>
      </c>
      <c r="D1703" s="486">
        <v>200</v>
      </c>
    </row>
    <row r="1704" spans="1:4" x14ac:dyDescent="0.2">
      <c r="A1704" s="344">
        <v>44750</v>
      </c>
      <c r="B1704" s="333">
        <f t="shared" si="23"/>
        <v>347173.37</v>
      </c>
      <c r="C1704" s="333">
        <v>346973.37</v>
      </c>
      <c r="D1704" s="486">
        <v>200</v>
      </c>
    </row>
    <row r="1705" spans="1:4" x14ac:dyDescent="0.2">
      <c r="A1705" s="344">
        <v>44753</v>
      </c>
      <c r="B1705" s="333">
        <f t="shared" si="23"/>
        <v>347173.37</v>
      </c>
      <c r="C1705" s="333">
        <f t="shared" si="24"/>
        <v>346973.37</v>
      </c>
      <c r="D1705" s="486">
        <v>200</v>
      </c>
    </row>
    <row r="1706" spans="1:4" x14ac:dyDescent="0.2">
      <c r="A1706" s="344">
        <v>44754</v>
      </c>
      <c r="B1706" s="333">
        <f t="shared" si="23"/>
        <v>347422.37</v>
      </c>
      <c r="C1706" s="333">
        <v>347222.37</v>
      </c>
      <c r="D1706" s="486">
        <v>200</v>
      </c>
    </row>
    <row r="1707" spans="1:4" x14ac:dyDescent="0.2">
      <c r="A1707" s="344">
        <v>44755</v>
      </c>
      <c r="B1707" s="333">
        <f t="shared" si="23"/>
        <v>347422.37</v>
      </c>
      <c r="C1707" s="333">
        <f t="shared" si="24"/>
        <v>347222.37</v>
      </c>
      <c r="D1707" s="486">
        <v>200</v>
      </c>
    </row>
    <row r="1708" spans="1:4" x14ac:dyDescent="0.2">
      <c r="A1708" s="344">
        <v>44756</v>
      </c>
      <c r="B1708" s="333">
        <f t="shared" si="23"/>
        <v>353674.1</v>
      </c>
      <c r="C1708" s="333">
        <v>353474.1</v>
      </c>
      <c r="D1708" s="486">
        <v>200</v>
      </c>
    </row>
    <row r="1709" spans="1:4" x14ac:dyDescent="0.2">
      <c r="A1709" s="344">
        <v>44757</v>
      </c>
      <c r="B1709" s="333">
        <f t="shared" si="23"/>
        <v>355815.56</v>
      </c>
      <c r="C1709" s="333">
        <v>355615.56</v>
      </c>
      <c r="D1709" s="486">
        <v>200</v>
      </c>
    </row>
    <row r="1710" spans="1:4" x14ac:dyDescent="0.2">
      <c r="A1710" s="344">
        <v>44760</v>
      </c>
      <c r="B1710" s="333">
        <f t="shared" si="23"/>
        <v>319836.78000000003</v>
      </c>
      <c r="C1710" s="333">
        <v>319636.78000000003</v>
      </c>
      <c r="D1710" s="486">
        <v>200</v>
      </c>
    </row>
    <row r="1711" spans="1:4" x14ac:dyDescent="0.2">
      <c r="A1711" s="344">
        <v>44761</v>
      </c>
      <c r="B1711" s="333">
        <f t="shared" si="23"/>
        <v>296807.06</v>
      </c>
      <c r="C1711" s="333">
        <v>296607.06</v>
      </c>
      <c r="D1711" s="486">
        <v>200</v>
      </c>
    </row>
    <row r="1712" spans="1:4" x14ac:dyDescent="0.2">
      <c r="A1712" s="344">
        <v>44762</v>
      </c>
      <c r="B1712" s="333">
        <f t="shared" si="23"/>
        <v>296807.06</v>
      </c>
      <c r="C1712" s="333">
        <f t="shared" ref="C1712:C1774" si="25">C1711</f>
        <v>296607.06</v>
      </c>
      <c r="D1712" s="486">
        <v>200</v>
      </c>
    </row>
    <row r="1713" spans="1:4" x14ac:dyDescent="0.2">
      <c r="A1713" s="344">
        <v>44763</v>
      </c>
      <c r="B1713" s="333">
        <f t="shared" si="23"/>
        <v>291257.96000000002</v>
      </c>
      <c r="C1713" s="333">
        <v>291057.96000000002</v>
      </c>
      <c r="D1713" s="486">
        <v>200</v>
      </c>
    </row>
    <row r="1714" spans="1:4" x14ac:dyDescent="0.2">
      <c r="A1714" s="344">
        <v>44764</v>
      </c>
      <c r="B1714" s="333">
        <f t="shared" si="23"/>
        <v>290782.98</v>
      </c>
      <c r="C1714" s="333">
        <v>290582.98</v>
      </c>
      <c r="D1714" s="486">
        <v>200</v>
      </c>
    </row>
    <row r="1715" spans="1:4" x14ac:dyDescent="0.2">
      <c r="A1715" s="344">
        <v>44767</v>
      </c>
      <c r="B1715" s="333">
        <f t="shared" si="23"/>
        <v>290782.98</v>
      </c>
      <c r="C1715" s="333">
        <f t="shared" si="25"/>
        <v>290582.98</v>
      </c>
      <c r="D1715" s="486">
        <v>200</v>
      </c>
    </row>
    <row r="1716" spans="1:4" x14ac:dyDescent="0.2">
      <c r="A1716" s="344">
        <v>44768</v>
      </c>
      <c r="B1716" s="333">
        <f t="shared" si="23"/>
        <v>290754.14</v>
      </c>
      <c r="C1716" s="333">
        <v>290554.14</v>
      </c>
      <c r="D1716" s="486">
        <v>200</v>
      </c>
    </row>
    <row r="1717" spans="1:4" x14ac:dyDescent="0.2">
      <c r="A1717" s="344">
        <v>44769</v>
      </c>
      <c r="B1717" s="333">
        <f t="shared" si="23"/>
        <v>290450.96000000002</v>
      </c>
      <c r="C1717" s="333">
        <v>290250.96000000002</v>
      </c>
      <c r="D1717" s="486">
        <v>200</v>
      </c>
    </row>
    <row r="1718" spans="1:4" x14ac:dyDescent="0.2">
      <c r="A1718" s="344">
        <v>44770</v>
      </c>
      <c r="B1718" s="333">
        <f t="shared" si="23"/>
        <v>282840.40000000002</v>
      </c>
      <c r="C1718" s="333">
        <v>282640.40000000002</v>
      </c>
      <c r="D1718" s="486">
        <v>200</v>
      </c>
    </row>
    <row r="1719" spans="1:4" x14ac:dyDescent="0.2">
      <c r="A1719" s="344">
        <v>44771</v>
      </c>
      <c r="B1719" s="333">
        <f t="shared" si="23"/>
        <v>318945.52</v>
      </c>
      <c r="C1719" s="333">
        <v>318745.52</v>
      </c>
      <c r="D1719" s="486">
        <v>200</v>
      </c>
    </row>
    <row r="1720" spans="1:4" x14ac:dyDescent="0.2">
      <c r="A1720" s="344">
        <v>44774</v>
      </c>
      <c r="B1720" s="333">
        <f t="shared" si="23"/>
        <v>318945.52</v>
      </c>
      <c r="C1720" s="333">
        <f t="shared" si="25"/>
        <v>318745.52</v>
      </c>
      <c r="D1720" s="486">
        <v>200</v>
      </c>
    </row>
    <row r="1721" spans="1:4" x14ac:dyDescent="0.2">
      <c r="A1721" s="344">
        <v>44775</v>
      </c>
      <c r="B1721" s="333">
        <f t="shared" si="23"/>
        <v>278401.03999999998</v>
      </c>
      <c r="C1721" s="333">
        <v>278201.03999999998</v>
      </c>
      <c r="D1721" s="486">
        <v>200</v>
      </c>
    </row>
    <row r="1722" spans="1:4" x14ac:dyDescent="0.2">
      <c r="A1722" s="344">
        <v>44776</v>
      </c>
      <c r="B1722" s="333">
        <f t="shared" si="23"/>
        <v>277801.03999999998</v>
      </c>
      <c r="C1722" s="333">
        <v>277601.03999999998</v>
      </c>
      <c r="D1722" s="486">
        <v>200</v>
      </c>
    </row>
    <row r="1723" spans="1:4" x14ac:dyDescent="0.2">
      <c r="A1723" s="344">
        <v>44777</v>
      </c>
      <c r="B1723" s="333">
        <f t="shared" si="23"/>
        <v>277801.03999999998</v>
      </c>
      <c r="C1723" s="333">
        <f t="shared" si="25"/>
        <v>277601.03999999998</v>
      </c>
      <c r="D1723" s="486">
        <v>200</v>
      </c>
    </row>
    <row r="1724" spans="1:4" x14ac:dyDescent="0.2">
      <c r="A1724" s="344">
        <v>44778</v>
      </c>
      <c r="B1724" s="333">
        <f t="shared" si="23"/>
        <v>277326.06</v>
      </c>
      <c r="C1724" s="333">
        <v>277126.06</v>
      </c>
      <c r="D1724" s="486">
        <v>200</v>
      </c>
    </row>
    <row r="1725" spans="1:4" x14ac:dyDescent="0.2">
      <c r="A1725" s="344">
        <v>44781</v>
      </c>
      <c r="B1725" s="333">
        <f t="shared" si="23"/>
        <v>277326.06</v>
      </c>
      <c r="C1725" s="333">
        <f t="shared" si="25"/>
        <v>277126.06</v>
      </c>
      <c r="D1725" s="486">
        <v>200</v>
      </c>
    </row>
    <row r="1726" spans="1:4" x14ac:dyDescent="0.2">
      <c r="A1726" s="344">
        <v>44782</v>
      </c>
      <c r="B1726" s="333">
        <f t="shared" si="23"/>
        <v>254730.8</v>
      </c>
      <c r="C1726" s="333">
        <v>254530.8</v>
      </c>
      <c r="D1726" s="486">
        <v>200</v>
      </c>
    </row>
    <row r="1727" spans="1:4" x14ac:dyDescent="0.2">
      <c r="A1727" s="344">
        <v>44783</v>
      </c>
      <c r="B1727" s="333">
        <f t="shared" si="23"/>
        <v>254730.8</v>
      </c>
      <c r="C1727" s="333">
        <f t="shared" si="25"/>
        <v>254530.8</v>
      </c>
      <c r="D1727" s="486">
        <v>200</v>
      </c>
    </row>
    <row r="1728" spans="1:4" x14ac:dyDescent="0.2">
      <c r="A1728" s="344">
        <v>44784</v>
      </c>
      <c r="B1728" s="333">
        <f t="shared" si="23"/>
        <v>277867.62</v>
      </c>
      <c r="C1728" s="333">
        <v>277667.62</v>
      </c>
      <c r="D1728" s="486">
        <v>200</v>
      </c>
    </row>
    <row r="1729" spans="1:4" x14ac:dyDescent="0.2">
      <c r="A1729" s="344">
        <v>44785</v>
      </c>
      <c r="B1729" s="333">
        <f t="shared" si="23"/>
        <v>278679.81</v>
      </c>
      <c r="C1729" s="333">
        <v>278479.81</v>
      </c>
      <c r="D1729" s="486">
        <v>200</v>
      </c>
    </row>
    <row r="1730" spans="1:4" x14ac:dyDescent="0.2">
      <c r="A1730" s="344">
        <v>44788</v>
      </c>
      <c r="B1730" s="333">
        <f t="shared" si="23"/>
        <v>278711.32</v>
      </c>
      <c r="C1730" s="333">
        <v>278511.32</v>
      </c>
      <c r="D1730" s="486">
        <v>200</v>
      </c>
    </row>
    <row r="1731" spans="1:4" x14ac:dyDescent="0.2">
      <c r="A1731" s="344">
        <v>44789</v>
      </c>
      <c r="B1731" s="333">
        <f t="shared" si="23"/>
        <v>238555.14</v>
      </c>
      <c r="C1731" s="333">
        <v>238355.14</v>
      </c>
      <c r="D1731" s="486">
        <v>200</v>
      </c>
    </row>
    <row r="1732" spans="1:4" x14ac:dyDescent="0.2">
      <c r="A1732" s="344">
        <v>44790</v>
      </c>
      <c r="B1732" s="333">
        <f t="shared" si="23"/>
        <v>238555.14</v>
      </c>
      <c r="C1732" s="333">
        <f t="shared" si="25"/>
        <v>238355.14</v>
      </c>
      <c r="D1732" s="486">
        <v>200</v>
      </c>
    </row>
    <row r="1733" spans="1:4" x14ac:dyDescent="0.2">
      <c r="A1733" s="344">
        <v>44791</v>
      </c>
      <c r="B1733" s="333">
        <f t="shared" si="23"/>
        <v>238555.14</v>
      </c>
      <c r="C1733" s="333">
        <f t="shared" si="25"/>
        <v>238355.14</v>
      </c>
      <c r="D1733" s="486">
        <v>200</v>
      </c>
    </row>
    <row r="1734" spans="1:4" x14ac:dyDescent="0.2">
      <c r="A1734" s="344">
        <v>44792</v>
      </c>
      <c r="B1734" s="333">
        <f t="shared" si="23"/>
        <v>227371.3</v>
      </c>
      <c r="C1734" s="333">
        <v>227171.3</v>
      </c>
      <c r="D1734" s="486">
        <v>200</v>
      </c>
    </row>
    <row r="1735" spans="1:4" x14ac:dyDescent="0.2">
      <c r="A1735" s="344">
        <v>44795</v>
      </c>
      <c r="B1735" s="333">
        <f t="shared" si="23"/>
        <v>227907.61</v>
      </c>
      <c r="C1735" s="333">
        <v>227707.61</v>
      </c>
      <c r="D1735" s="486">
        <v>200</v>
      </c>
    </row>
    <row r="1736" spans="1:4" x14ac:dyDescent="0.2">
      <c r="A1736" s="344">
        <v>44796</v>
      </c>
      <c r="B1736" s="333">
        <f t="shared" si="23"/>
        <v>227907.61</v>
      </c>
      <c r="C1736" s="333">
        <f t="shared" si="25"/>
        <v>227707.61</v>
      </c>
      <c r="D1736" s="486">
        <v>200</v>
      </c>
    </row>
    <row r="1737" spans="1:4" x14ac:dyDescent="0.2">
      <c r="A1737" s="344">
        <v>44797</v>
      </c>
      <c r="B1737" s="333">
        <f t="shared" si="23"/>
        <v>250036.67</v>
      </c>
      <c r="C1737" s="333">
        <v>249836.67</v>
      </c>
      <c r="D1737" s="486">
        <v>200</v>
      </c>
    </row>
    <row r="1738" spans="1:4" x14ac:dyDescent="0.2">
      <c r="A1738" s="344">
        <v>44798</v>
      </c>
      <c r="B1738" s="333">
        <f t="shared" si="23"/>
        <v>255964.71</v>
      </c>
      <c r="C1738" s="333">
        <v>255764.71</v>
      </c>
      <c r="D1738" s="486">
        <v>200</v>
      </c>
    </row>
    <row r="1739" spans="1:4" x14ac:dyDescent="0.2">
      <c r="A1739" s="344">
        <v>44799</v>
      </c>
      <c r="B1739" s="333">
        <f t="shared" si="23"/>
        <v>315493.2</v>
      </c>
      <c r="C1739" s="333">
        <v>315293.2</v>
      </c>
      <c r="D1739" s="486">
        <v>200</v>
      </c>
    </row>
    <row r="1740" spans="1:4" x14ac:dyDescent="0.2">
      <c r="A1740" s="344">
        <v>44802</v>
      </c>
      <c r="B1740" s="333">
        <f t="shared" si="23"/>
        <v>315493.2</v>
      </c>
      <c r="C1740" s="333">
        <f t="shared" si="25"/>
        <v>315293.2</v>
      </c>
      <c r="D1740" s="486">
        <v>200</v>
      </c>
    </row>
    <row r="1741" spans="1:4" x14ac:dyDescent="0.2">
      <c r="A1741" s="344">
        <v>44803</v>
      </c>
      <c r="B1741" s="333">
        <f t="shared" si="23"/>
        <v>332334.94</v>
      </c>
      <c r="C1741" s="333">
        <v>332134.94</v>
      </c>
      <c r="D1741" s="486">
        <v>200</v>
      </c>
    </row>
    <row r="1742" spans="1:4" x14ac:dyDescent="0.2">
      <c r="A1742" s="344">
        <v>44804</v>
      </c>
      <c r="B1742" s="333">
        <f t="shared" si="23"/>
        <v>332334.94</v>
      </c>
      <c r="C1742" s="333">
        <f t="shared" si="25"/>
        <v>332134.94</v>
      </c>
      <c r="D1742" s="486">
        <v>200</v>
      </c>
    </row>
    <row r="1743" spans="1:4" x14ac:dyDescent="0.2">
      <c r="A1743" s="344">
        <v>44805</v>
      </c>
      <c r="B1743" s="333">
        <f t="shared" si="23"/>
        <v>370869.56</v>
      </c>
      <c r="C1743" s="333">
        <v>370669.56</v>
      </c>
      <c r="D1743" s="486">
        <v>200</v>
      </c>
    </row>
    <row r="1744" spans="1:4" x14ac:dyDescent="0.2">
      <c r="A1744" s="344">
        <v>44806</v>
      </c>
      <c r="B1744" s="333">
        <f t="shared" si="23"/>
        <v>370394.58</v>
      </c>
      <c r="C1744" s="333">
        <v>370194.58</v>
      </c>
      <c r="D1744" s="486">
        <v>200</v>
      </c>
    </row>
    <row r="1745" spans="1:4" x14ac:dyDescent="0.2">
      <c r="A1745" s="344">
        <v>44809</v>
      </c>
      <c r="B1745" s="333">
        <f t="shared" si="23"/>
        <v>370394.58</v>
      </c>
      <c r="C1745" s="333">
        <f t="shared" si="25"/>
        <v>370194.58</v>
      </c>
      <c r="D1745" s="486">
        <v>200</v>
      </c>
    </row>
    <row r="1746" spans="1:4" x14ac:dyDescent="0.2">
      <c r="A1746" s="344">
        <v>44810</v>
      </c>
      <c r="B1746" s="333">
        <f t="shared" si="23"/>
        <v>346842.59</v>
      </c>
      <c r="C1746" s="333">
        <v>346642.59</v>
      </c>
      <c r="D1746" s="486">
        <v>200</v>
      </c>
    </row>
    <row r="1747" spans="1:4" x14ac:dyDescent="0.2">
      <c r="A1747" s="344">
        <v>44811</v>
      </c>
      <c r="B1747" s="333">
        <f t="shared" si="23"/>
        <v>346842.59</v>
      </c>
      <c r="C1747" s="333">
        <f t="shared" si="25"/>
        <v>346642.59</v>
      </c>
      <c r="D1747" s="486">
        <v>200</v>
      </c>
    </row>
    <row r="1748" spans="1:4" x14ac:dyDescent="0.2">
      <c r="A1748" s="344">
        <v>44812</v>
      </c>
      <c r="B1748" s="333">
        <f t="shared" si="23"/>
        <v>346842.59</v>
      </c>
      <c r="C1748" s="333">
        <f t="shared" si="25"/>
        <v>346642.59</v>
      </c>
      <c r="D1748" s="486">
        <v>200</v>
      </c>
    </row>
    <row r="1749" spans="1:4" x14ac:dyDescent="0.2">
      <c r="A1749" s="344">
        <v>44813</v>
      </c>
      <c r="B1749" s="333">
        <f t="shared" si="23"/>
        <v>347076.59</v>
      </c>
      <c r="C1749" s="333">
        <v>346876.59</v>
      </c>
      <c r="D1749" s="486">
        <v>200</v>
      </c>
    </row>
    <row r="1750" spans="1:4" x14ac:dyDescent="0.2">
      <c r="A1750" s="344">
        <v>44816</v>
      </c>
      <c r="B1750" s="333">
        <f t="shared" si="23"/>
        <v>308665.48</v>
      </c>
      <c r="C1750" s="333">
        <v>308465.48</v>
      </c>
      <c r="D1750" s="486">
        <v>200</v>
      </c>
    </row>
    <row r="1751" spans="1:4" x14ac:dyDescent="0.2">
      <c r="A1751" s="344">
        <v>44817</v>
      </c>
      <c r="B1751" s="333">
        <f t="shared" si="23"/>
        <v>308665.48</v>
      </c>
      <c r="C1751" s="333">
        <f t="shared" si="25"/>
        <v>308465.48</v>
      </c>
      <c r="D1751" s="486">
        <v>200</v>
      </c>
    </row>
    <row r="1752" spans="1:4" x14ac:dyDescent="0.2">
      <c r="A1752" s="344">
        <v>44818</v>
      </c>
      <c r="B1752" s="333">
        <f t="shared" si="23"/>
        <v>320782.46999999997</v>
      </c>
      <c r="C1752" s="333">
        <v>320582.46999999997</v>
      </c>
      <c r="D1752" s="486">
        <v>200</v>
      </c>
    </row>
    <row r="1753" spans="1:4" x14ac:dyDescent="0.2">
      <c r="A1753" s="344">
        <v>44819</v>
      </c>
      <c r="B1753" s="333">
        <f t="shared" si="23"/>
        <v>317911.17</v>
      </c>
      <c r="C1753" s="333">
        <v>317711.17</v>
      </c>
      <c r="D1753" s="486">
        <v>200</v>
      </c>
    </row>
    <row r="1754" spans="1:4" x14ac:dyDescent="0.2">
      <c r="A1754" s="344">
        <v>44820</v>
      </c>
      <c r="B1754" s="333">
        <f t="shared" si="23"/>
        <v>317436.19</v>
      </c>
      <c r="C1754" s="333">
        <v>317236.19</v>
      </c>
      <c r="D1754" s="486">
        <v>200</v>
      </c>
    </row>
    <row r="1755" spans="1:4" x14ac:dyDescent="0.2">
      <c r="A1755" s="344">
        <v>44823</v>
      </c>
      <c r="B1755" s="333">
        <f t="shared" si="23"/>
        <v>317436.19</v>
      </c>
      <c r="C1755" s="333">
        <f t="shared" si="25"/>
        <v>317236.19</v>
      </c>
      <c r="D1755" s="486">
        <v>200</v>
      </c>
    </row>
    <row r="1756" spans="1:4" x14ac:dyDescent="0.2">
      <c r="A1756" s="344">
        <v>44824</v>
      </c>
      <c r="B1756" s="333">
        <f t="shared" si="23"/>
        <v>428386.24</v>
      </c>
      <c r="C1756" s="333">
        <v>428186.24</v>
      </c>
      <c r="D1756" s="486">
        <v>200</v>
      </c>
    </row>
    <row r="1757" spans="1:4" x14ac:dyDescent="0.2">
      <c r="A1757" s="344">
        <v>44825</v>
      </c>
      <c r="B1757" s="333">
        <f t="shared" si="23"/>
        <v>428386.24</v>
      </c>
      <c r="C1757" s="333">
        <f t="shared" si="25"/>
        <v>428186.24</v>
      </c>
      <c r="D1757" s="486">
        <v>200</v>
      </c>
    </row>
    <row r="1758" spans="1:4" x14ac:dyDescent="0.2">
      <c r="A1758" s="344">
        <v>44826</v>
      </c>
      <c r="B1758" s="333">
        <f t="shared" si="23"/>
        <v>425851.86</v>
      </c>
      <c r="C1758" s="333">
        <v>425651.86</v>
      </c>
      <c r="D1758" s="486">
        <v>200</v>
      </c>
    </row>
    <row r="1759" spans="1:4" x14ac:dyDescent="0.2">
      <c r="A1759" s="344">
        <v>44827</v>
      </c>
      <c r="B1759" s="333">
        <f t="shared" si="23"/>
        <v>453679.91</v>
      </c>
      <c r="C1759" s="333">
        <v>453479.91</v>
      </c>
      <c r="D1759" s="486">
        <v>200</v>
      </c>
    </row>
    <row r="1760" spans="1:4" x14ac:dyDescent="0.2">
      <c r="A1760" s="344">
        <v>44830</v>
      </c>
      <c r="B1760" s="333">
        <f t="shared" si="23"/>
        <v>412431.05</v>
      </c>
      <c r="C1760" s="333">
        <v>412231.05</v>
      </c>
      <c r="D1760" s="486">
        <v>200</v>
      </c>
    </row>
    <row r="1761" spans="1:4" x14ac:dyDescent="0.2">
      <c r="A1761" s="344">
        <v>44831</v>
      </c>
      <c r="B1761" s="333">
        <f t="shared" si="23"/>
        <v>412402.21</v>
      </c>
      <c r="C1761" s="333">
        <v>412202.21</v>
      </c>
      <c r="D1761" s="486">
        <v>200</v>
      </c>
    </row>
    <row r="1762" spans="1:4" x14ac:dyDescent="0.2">
      <c r="A1762" s="344">
        <v>44832</v>
      </c>
      <c r="B1762" s="333">
        <f t="shared" si="23"/>
        <v>417372.63</v>
      </c>
      <c r="C1762" s="333">
        <v>417172.63</v>
      </c>
      <c r="D1762" s="486">
        <v>200</v>
      </c>
    </row>
    <row r="1763" spans="1:4" x14ac:dyDescent="0.2">
      <c r="A1763" s="344">
        <v>44833</v>
      </c>
      <c r="B1763" s="333">
        <f t="shared" si="23"/>
        <v>415449.23</v>
      </c>
      <c r="C1763" s="333">
        <v>415249.23</v>
      </c>
      <c r="D1763" s="486">
        <v>200</v>
      </c>
    </row>
    <row r="1764" spans="1:4" x14ac:dyDescent="0.2">
      <c r="A1764" s="344">
        <v>44834</v>
      </c>
      <c r="B1764" s="333">
        <f t="shared" si="23"/>
        <v>435708</v>
      </c>
      <c r="C1764" s="333">
        <v>435508</v>
      </c>
      <c r="D1764" s="486">
        <v>200</v>
      </c>
    </row>
    <row r="1765" spans="1:4" x14ac:dyDescent="0.2">
      <c r="A1765" s="344">
        <v>44835</v>
      </c>
      <c r="B1765" s="333">
        <f t="shared" si="23"/>
        <v>435708</v>
      </c>
      <c r="C1765" s="333">
        <f t="shared" si="25"/>
        <v>435508</v>
      </c>
      <c r="D1765" s="486">
        <v>200</v>
      </c>
    </row>
    <row r="1766" spans="1:4" x14ac:dyDescent="0.2">
      <c r="A1766" s="344">
        <v>44836</v>
      </c>
      <c r="B1766" s="333">
        <f t="shared" si="23"/>
        <v>435708</v>
      </c>
      <c r="C1766" s="333">
        <f t="shared" si="25"/>
        <v>435508</v>
      </c>
      <c r="D1766" s="486">
        <v>200</v>
      </c>
    </row>
    <row r="1767" spans="1:4" x14ac:dyDescent="0.2">
      <c r="A1767" s="344">
        <v>44837</v>
      </c>
      <c r="B1767" s="333">
        <f t="shared" si="23"/>
        <v>435708</v>
      </c>
      <c r="C1767" s="333">
        <f t="shared" si="25"/>
        <v>435508</v>
      </c>
      <c r="D1767" s="486">
        <v>200</v>
      </c>
    </row>
    <row r="1768" spans="1:4" x14ac:dyDescent="0.2">
      <c r="A1768" s="344">
        <v>44838</v>
      </c>
      <c r="B1768" s="333">
        <f t="shared" si="23"/>
        <v>435708</v>
      </c>
      <c r="C1768" s="333">
        <f t="shared" si="25"/>
        <v>435508</v>
      </c>
      <c r="D1768" s="486">
        <v>200</v>
      </c>
    </row>
    <row r="1769" spans="1:4" x14ac:dyDescent="0.2">
      <c r="A1769" s="344">
        <v>44839</v>
      </c>
      <c r="B1769" s="333">
        <f t="shared" si="23"/>
        <v>436040</v>
      </c>
      <c r="C1769" s="333">
        <v>435840</v>
      </c>
      <c r="D1769" s="486">
        <v>200</v>
      </c>
    </row>
    <row r="1770" spans="1:4" x14ac:dyDescent="0.2">
      <c r="A1770" s="344">
        <v>44840</v>
      </c>
      <c r="B1770" s="333">
        <f t="shared" si="23"/>
        <v>427559.36</v>
      </c>
      <c r="C1770" s="333">
        <v>427359.36</v>
      </c>
      <c r="D1770" s="486">
        <v>200</v>
      </c>
    </row>
    <row r="1771" spans="1:4" x14ac:dyDescent="0.2">
      <c r="A1771" s="344">
        <v>44841</v>
      </c>
      <c r="B1771" s="333">
        <f t="shared" si="23"/>
        <v>427559.36</v>
      </c>
      <c r="C1771" s="333">
        <f t="shared" si="25"/>
        <v>427359.36</v>
      </c>
      <c r="D1771" s="486">
        <v>200</v>
      </c>
    </row>
    <row r="1772" spans="1:4" x14ac:dyDescent="0.2">
      <c r="A1772" s="344">
        <v>44844</v>
      </c>
      <c r="B1772" s="333">
        <f t="shared" si="23"/>
        <v>427559.36</v>
      </c>
      <c r="C1772" s="333">
        <f t="shared" si="25"/>
        <v>427359.36</v>
      </c>
      <c r="D1772" s="486">
        <v>200</v>
      </c>
    </row>
    <row r="1773" spans="1:4" x14ac:dyDescent="0.2">
      <c r="A1773" s="344">
        <v>44845</v>
      </c>
      <c r="B1773" s="333">
        <f t="shared" si="23"/>
        <v>388161.54</v>
      </c>
      <c r="C1773" s="333">
        <v>387961.54</v>
      </c>
      <c r="D1773" s="486">
        <v>200</v>
      </c>
    </row>
    <row r="1774" spans="1:4" x14ac:dyDescent="0.2">
      <c r="A1774" s="344">
        <v>44846</v>
      </c>
      <c r="B1774" s="333">
        <f t="shared" si="23"/>
        <v>388161.54</v>
      </c>
      <c r="C1774" s="333">
        <f t="shared" si="25"/>
        <v>387961.54</v>
      </c>
      <c r="D1774" s="486">
        <v>200</v>
      </c>
    </row>
    <row r="1775" spans="1:4" x14ac:dyDescent="0.2">
      <c r="A1775" s="344">
        <v>44847</v>
      </c>
      <c r="B1775" s="333">
        <f t="shared" si="23"/>
        <v>381514.53</v>
      </c>
      <c r="C1775" s="333">
        <v>381314.53</v>
      </c>
      <c r="D1775" s="486">
        <v>200</v>
      </c>
    </row>
    <row r="1776" spans="1:4" x14ac:dyDescent="0.2">
      <c r="A1776" s="344">
        <v>44848</v>
      </c>
      <c r="B1776" s="333">
        <f t="shared" si="23"/>
        <v>389507.01</v>
      </c>
      <c r="C1776" s="333">
        <v>389307.01</v>
      </c>
      <c r="D1776" s="486">
        <v>200</v>
      </c>
    </row>
    <row r="1777" spans="1:4" x14ac:dyDescent="0.2">
      <c r="A1777" s="344">
        <v>44849</v>
      </c>
      <c r="B1777" s="333">
        <f t="shared" si="23"/>
        <v>389507.01</v>
      </c>
      <c r="C1777" s="333">
        <f t="shared" ref="C1777:C1840" si="26">C1776</f>
        <v>389307.01</v>
      </c>
      <c r="D1777" s="486">
        <v>200</v>
      </c>
    </row>
    <row r="1778" spans="1:4" x14ac:dyDescent="0.2">
      <c r="A1778" s="344">
        <v>44850</v>
      </c>
      <c r="B1778" s="333">
        <f t="shared" si="23"/>
        <v>389507.01</v>
      </c>
      <c r="C1778" s="333">
        <f t="shared" si="26"/>
        <v>389307.01</v>
      </c>
      <c r="D1778" s="486">
        <v>200</v>
      </c>
    </row>
    <row r="1779" spans="1:4" x14ac:dyDescent="0.2">
      <c r="A1779" s="344">
        <v>44851</v>
      </c>
      <c r="B1779" s="333">
        <f t="shared" si="23"/>
        <v>414035.71</v>
      </c>
      <c r="C1779" s="333">
        <v>413835.71</v>
      </c>
      <c r="D1779" s="486">
        <v>200</v>
      </c>
    </row>
    <row r="1780" spans="1:4" x14ac:dyDescent="0.2">
      <c r="A1780" s="344">
        <v>44852</v>
      </c>
      <c r="B1780" s="333">
        <f t="shared" si="23"/>
        <v>413985.71</v>
      </c>
      <c r="C1780" s="333">
        <v>413785.71</v>
      </c>
      <c r="D1780" s="486">
        <v>200</v>
      </c>
    </row>
    <row r="1781" spans="1:4" x14ac:dyDescent="0.2">
      <c r="A1781" s="344">
        <v>44853</v>
      </c>
      <c r="B1781" s="333">
        <f t="shared" si="23"/>
        <v>413985.71</v>
      </c>
      <c r="C1781" s="333">
        <f t="shared" si="26"/>
        <v>413785.71</v>
      </c>
      <c r="D1781" s="486">
        <v>200</v>
      </c>
    </row>
    <row r="1782" spans="1:4" x14ac:dyDescent="0.2">
      <c r="A1782" s="344">
        <v>44854</v>
      </c>
      <c r="B1782" s="333">
        <f t="shared" si="23"/>
        <v>411319.14</v>
      </c>
      <c r="C1782" s="333">
        <v>411119.14</v>
      </c>
      <c r="D1782" s="486">
        <v>200</v>
      </c>
    </row>
    <row r="1783" spans="1:4" x14ac:dyDescent="0.2">
      <c r="A1783" s="344">
        <v>44855</v>
      </c>
      <c r="B1783" s="333">
        <f t="shared" si="23"/>
        <v>411160.29</v>
      </c>
      <c r="C1783" s="333">
        <v>410960.29</v>
      </c>
      <c r="D1783" s="486">
        <v>200</v>
      </c>
    </row>
    <row r="1784" spans="1:4" x14ac:dyDescent="0.2">
      <c r="A1784" s="344">
        <v>44856</v>
      </c>
      <c r="B1784" s="333">
        <f t="shared" si="23"/>
        <v>411160.29</v>
      </c>
      <c r="C1784" s="333">
        <f t="shared" si="26"/>
        <v>410960.29</v>
      </c>
      <c r="D1784" s="486">
        <v>200</v>
      </c>
    </row>
    <row r="1785" spans="1:4" x14ac:dyDescent="0.2">
      <c r="A1785" s="344">
        <v>44857</v>
      </c>
      <c r="B1785" s="333">
        <f t="shared" si="23"/>
        <v>411160.29</v>
      </c>
      <c r="C1785" s="333">
        <f t="shared" si="26"/>
        <v>410960.29</v>
      </c>
      <c r="D1785" s="486">
        <v>200</v>
      </c>
    </row>
    <row r="1786" spans="1:4" x14ac:dyDescent="0.2">
      <c r="A1786" s="344">
        <v>44858</v>
      </c>
      <c r="B1786" s="333">
        <f t="shared" si="23"/>
        <v>372476.51</v>
      </c>
      <c r="C1786" s="333">
        <v>372276.51</v>
      </c>
      <c r="D1786" s="486">
        <v>200</v>
      </c>
    </row>
    <row r="1787" spans="1:4" x14ac:dyDescent="0.2">
      <c r="A1787" s="344">
        <v>44859</v>
      </c>
      <c r="B1787" s="333">
        <f t="shared" si="23"/>
        <v>376660.01</v>
      </c>
      <c r="C1787" s="333">
        <v>376460.01</v>
      </c>
      <c r="D1787" s="486">
        <v>200</v>
      </c>
    </row>
    <row r="1788" spans="1:4" x14ac:dyDescent="0.2">
      <c r="A1788" s="344">
        <v>44860</v>
      </c>
      <c r="B1788" s="333">
        <f t="shared" si="23"/>
        <v>397613.66</v>
      </c>
      <c r="C1788" s="333">
        <v>397413.66</v>
      </c>
      <c r="D1788" s="486">
        <v>200</v>
      </c>
    </row>
    <row r="1789" spans="1:4" x14ac:dyDescent="0.2">
      <c r="A1789" s="344">
        <v>44861</v>
      </c>
      <c r="B1789" s="333">
        <f t="shared" si="23"/>
        <v>387878.55</v>
      </c>
      <c r="C1789" s="333">
        <v>387678.55</v>
      </c>
      <c r="D1789" s="486">
        <v>200</v>
      </c>
    </row>
    <row r="1790" spans="1:4" x14ac:dyDescent="0.2">
      <c r="A1790" s="344">
        <v>44862</v>
      </c>
      <c r="B1790" s="333">
        <f t="shared" si="23"/>
        <v>387403.57</v>
      </c>
      <c r="C1790" s="333">
        <v>387203.57</v>
      </c>
      <c r="D1790" s="486">
        <v>200</v>
      </c>
    </row>
    <row r="1791" spans="1:4" x14ac:dyDescent="0.2">
      <c r="A1791" s="344">
        <v>44863</v>
      </c>
      <c r="B1791" s="333">
        <f t="shared" si="23"/>
        <v>387403.57</v>
      </c>
      <c r="C1791" s="333">
        <f t="shared" si="26"/>
        <v>387203.57</v>
      </c>
      <c r="D1791" s="486">
        <v>200</v>
      </c>
    </row>
    <row r="1792" spans="1:4" x14ac:dyDescent="0.2">
      <c r="A1792" s="344">
        <v>44864</v>
      </c>
      <c r="B1792" s="333">
        <f t="shared" si="23"/>
        <v>387403.57</v>
      </c>
      <c r="C1792" s="333">
        <f t="shared" si="26"/>
        <v>387203.57</v>
      </c>
      <c r="D1792" s="486">
        <v>200</v>
      </c>
    </row>
    <row r="1793" spans="1:4" x14ac:dyDescent="0.2">
      <c r="A1793" s="344">
        <v>44865</v>
      </c>
      <c r="B1793" s="333">
        <f t="shared" si="23"/>
        <v>417270.82</v>
      </c>
      <c r="C1793" s="333">
        <v>417070.82</v>
      </c>
      <c r="D1793" s="486">
        <v>200</v>
      </c>
    </row>
    <row r="1794" spans="1:4" x14ac:dyDescent="0.2">
      <c r="A1794" s="344">
        <v>44866</v>
      </c>
      <c r="B1794" s="333">
        <f t="shared" si="23"/>
        <v>417270.82</v>
      </c>
      <c r="C1794" s="333">
        <f t="shared" si="26"/>
        <v>417070.82</v>
      </c>
      <c r="D1794" s="486">
        <v>200</v>
      </c>
    </row>
    <row r="1795" spans="1:4" x14ac:dyDescent="0.2">
      <c r="A1795" s="344">
        <v>44867</v>
      </c>
      <c r="B1795" s="333">
        <f t="shared" si="23"/>
        <v>417270.82</v>
      </c>
      <c r="C1795" s="333">
        <f t="shared" si="26"/>
        <v>417070.82</v>
      </c>
      <c r="D1795" s="486">
        <v>200</v>
      </c>
    </row>
    <row r="1796" spans="1:4" x14ac:dyDescent="0.2">
      <c r="A1796" s="344">
        <v>44868</v>
      </c>
      <c r="B1796" s="333">
        <f t="shared" si="23"/>
        <v>411865.95</v>
      </c>
      <c r="C1796" s="333">
        <v>411665.95</v>
      </c>
      <c r="D1796" s="486">
        <v>200</v>
      </c>
    </row>
    <row r="1797" spans="1:4" x14ac:dyDescent="0.2">
      <c r="A1797" s="344">
        <v>44869</v>
      </c>
      <c r="B1797" s="333">
        <f t="shared" si="23"/>
        <v>411865.95</v>
      </c>
      <c r="C1797" s="333">
        <f t="shared" si="26"/>
        <v>411665.95</v>
      </c>
      <c r="D1797" s="486">
        <v>200</v>
      </c>
    </row>
    <row r="1798" spans="1:4" x14ac:dyDescent="0.2">
      <c r="A1798" s="344">
        <v>44870</v>
      </c>
      <c r="B1798" s="333">
        <f t="shared" si="23"/>
        <v>411865.95</v>
      </c>
      <c r="C1798" s="333">
        <f t="shared" si="26"/>
        <v>411665.95</v>
      </c>
      <c r="D1798" s="486">
        <v>200</v>
      </c>
    </row>
    <row r="1799" spans="1:4" x14ac:dyDescent="0.2">
      <c r="A1799" s="344">
        <v>44871</v>
      </c>
      <c r="B1799" s="333">
        <f t="shared" si="23"/>
        <v>411865.95</v>
      </c>
      <c r="C1799" s="333">
        <f t="shared" si="26"/>
        <v>411665.95</v>
      </c>
      <c r="D1799" s="486">
        <v>200</v>
      </c>
    </row>
    <row r="1800" spans="1:4" x14ac:dyDescent="0.2">
      <c r="A1800" s="344">
        <v>44872</v>
      </c>
      <c r="B1800" s="333">
        <f t="shared" si="23"/>
        <v>368529.24</v>
      </c>
      <c r="C1800" s="333">
        <v>368329.24</v>
      </c>
      <c r="D1800" s="486">
        <v>200</v>
      </c>
    </row>
    <row r="1801" spans="1:4" x14ac:dyDescent="0.2">
      <c r="A1801" s="344">
        <v>44873</v>
      </c>
      <c r="B1801" s="333">
        <f t="shared" si="23"/>
        <v>369146.24</v>
      </c>
      <c r="C1801" s="333">
        <v>368946.24</v>
      </c>
      <c r="D1801" s="486">
        <v>200</v>
      </c>
    </row>
    <row r="1802" spans="1:4" x14ac:dyDescent="0.2">
      <c r="A1802" s="344">
        <v>44874</v>
      </c>
      <c r="B1802" s="333">
        <f t="shared" ref="B1802:B1865" si="27">C1802+D1802</f>
        <v>369146.24</v>
      </c>
      <c r="C1802" s="333">
        <f t="shared" si="26"/>
        <v>368946.24</v>
      </c>
      <c r="D1802" s="486">
        <v>200</v>
      </c>
    </row>
    <row r="1803" spans="1:4" x14ac:dyDescent="0.2">
      <c r="A1803" s="344">
        <v>44875</v>
      </c>
      <c r="B1803" s="333">
        <f t="shared" si="27"/>
        <v>423875.79</v>
      </c>
      <c r="C1803" s="333">
        <v>423675.79</v>
      </c>
      <c r="D1803" s="486">
        <v>200</v>
      </c>
    </row>
    <row r="1804" spans="1:4" x14ac:dyDescent="0.2">
      <c r="A1804" s="344">
        <v>44876</v>
      </c>
      <c r="B1804" s="333">
        <f t="shared" si="27"/>
        <v>423875.79</v>
      </c>
      <c r="C1804" s="333">
        <f t="shared" si="26"/>
        <v>423675.79</v>
      </c>
      <c r="D1804" s="486">
        <v>200</v>
      </c>
    </row>
    <row r="1805" spans="1:4" x14ac:dyDescent="0.2">
      <c r="A1805" s="344">
        <v>44879</v>
      </c>
      <c r="B1805" s="333">
        <f t="shared" si="27"/>
        <v>423400.81</v>
      </c>
      <c r="C1805" s="333">
        <v>423200.81</v>
      </c>
      <c r="D1805" s="486">
        <v>200</v>
      </c>
    </row>
    <row r="1806" spans="1:4" x14ac:dyDescent="0.2">
      <c r="A1806" s="344">
        <v>44880</v>
      </c>
      <c r="B1806" s="333">
        <f t="shared" si="27"/>
        <v>423210.99</v>
      </c>
      <c r="C1806" s="333">
        <v>423010.99</v>
      </c>
      <c r="D1806" s="486">
        <v>200</v>
      </c>
    </row>
    <row r="1807" spans="1:4" x14ac:dyDescent="0.2">
      <c r="A1807" s="344">
        <v>44881</v>
      </c>
      <c r="B1807" s="333">
        <f t="shared" si="27"/>
        <v>473210.99</v>
      </c>
      <c r="C1807" s="333">
        <v>473010.99</v>
      </c>
      <c r="D1807" s="486">
        <v>200</v>
      </c>
    </row>
    <row r="1808" spans="1:4" x14ac:dyDescent="0.2">
      <c r="A1808" s="344">
        <v>44882</v>
      </c>
      <c r="B1808" s="333">
        <f t="shared" si="27"/>
        <v>470084.64</v>
      </c>
      <c r="C1808" s="333">
        <v>469884.64</v>
      </c>
      <c r="D1808" s="486">
        <v>200</v>
      </c>
    </row>
    <row r="1809" spans="1:4" x14ac:dyDescent="0.2">
      <c r="A1809" s="344">
        <v>44883</v>
      </c>
      <c r="B1809" s="333">
        <f t="shared" si="27"/>
        <v>470084.64</v>
      </c>
      <c r="C1809" s="333">
        <f t="shared" si="26"/>
        <v>469884.64</v>
      </c>
      <c r="D1809" s="486">
        <v>200</v>
      </c>
    </row>
    <row r="1810" spans="1:4" x14ac:dyDescent="0.2">
      <c r="A1810" s="344">
        <v>44886</v>
      </c>
      <c r="B1810" s="333">
        <f t="shared" si="27"/>
        <v>424767.46</v>
      </c>
      <c r="C1810" s="333">
        <v>424567.46</v>
      </c>
      <c r="D1810" s="486">
        <v>200</v>
      </c>
    </row>
    <row r="1811" spans="1:4" x14ac:dyDescent="0.2">
      <c r="A1811" s="344">
        <v>44887</v>
      </c>
      <c r="B1811" s="333">
        <f t="shared" si="27"/>
        <v>424767.46</v>
      </c>
      <c r="C1811" s="333">
        <f t="shared" si="26"/>
        <v>424567.46</v>
      </c>
      <c r="D1811" s="486">
        <v>200</v>
      </c>
    </row>
    <row r="1812" spans="1:4" x14ac:dyDescent="0.2">
      <c r="A1812" s="344">
        <v>44888</v>
      </c>
      <c r="B1812" s="333">
        <f t="shared" si="27"/>
        <v>424767.46</v>
      </c>
      <c r="C1812" s="333">
        <f t="shared" si="26"/>
        <v>424567.46</v>
      </c>
      <c r="D1812" s="486">
        <v>200</v>
      </c>
    </row>
    <row r="1813" spans="1:4" x14ac:dyDescent="0.2">
      <c r="A1813" s="344">
        <v>44889</v>
      </c>
      <c r="B1813" s="333">
        <f t="shared" si="27"/>
        <v>424767.46</v>
      </c>
      <c r="C1813" s="333">
        <f t="shared" si="26"/>
        <v>424567.46</v>
      </c>
      <c r="D1813" s="486">
        <v>200</v>
      </c>
    </row>
    <row r="1814" spans="1:4" x14ac:dyDescent="0.2">
      <c r="A1814" s="344">
        <v>44890</v>
      </c>
      <c r="B1814" s="333">
        <f t="shared" si="27"/>
        <v>442650.11</v>
      </c>
      <c r="C1814" s="333">
        <v>442450.11</v>
      </c>
      <c r="D1814" s="486">
        <v>200</v>
      </c>
    </row>
    <row r="1815" spans="1:4" x14ac:dyDescent="0.2">
      <c r="A1815" s="344">
        <v>44893</v>
      </c>
      <c r="B1815" s="333">
        <f t="shared" si="27"/>
        <v>442518.27</v>
      </c>
      <c r="C1815" s="333">
        <v>442318.27</v>
      </c>
      <c r="D1815" s="486">
        <v>200</v>
      </c>
    </row>
    <row r="1816" spans="1:4" x14ac:dyDescent="0.2">
      <c r="A1816" s="344">
        <v>44894</v>
      </c>
      <c r="B1816" s="333">
        <f t="shared" si="27"/>
        <v>442518.27</v>
      </c>
      <c r="C1816" s="333">
        <f t="shared" si="26"/>
        <v>442318.27</v>
      </c>
      <c r="D1816" s="486">
        <v>200</v>
      </c>
    </row>
    <row r="1817" spans="1:4" x14ac:dyDescent="0.2">
      <c r="A1817" s="344">
        <v>44895</v>
      </c>
      <c r="B1817" s="333">
        <f t="shared" si="27"/>
        <v>442518.27</v>
      </c>
      <c r="C1817" s="333">
        <f t="shared" si="26"/>
        <v>442318.27</v>
      </c>
      <c r="D1817" s="486">
        <v>200</v>
      </c>
    </row>
    <row r="1818" spans="1:4" x14ac:dyDescent="0.2">
      <c r="A1818" s="344">
        <v>44896</v>
      </c>
      <c r="B1818" s="333">
        <f t="shared" si="27"/>
        <v>442518.27</v>
      </c>
      <c r="C1818" s="333">
        <f t="shared" si="26"/>
        <v>442318.27</v>
      </c>
      <c r="D1818" s="486">
        <v>200</v>
      </c>
    </row>
    <row r="1819" spans="1:4" x14ac:dyDescent="0.2">
      <c r="A1819" s="344">
        <v>44897</v>
      </c>
      <c r="B1819" s="333">
        <f t="shared" si="27"/>
        <v>420942.38</v>
      </c>
      <c r="C1819" s="333">
        <v>420742.38</v>
      </c>
      <c r="D1819" s="486">
        <v>200</v>
      </c>
    </row>
    <row r="1820" spans="1:4" x14ac:dyDescent="0.2">
      <c r="A1820" s="344">
        <v>44900</v>
      </c>
      <c r="B1820" s="333">
        <f t="shared" si="27"/>
        <v>379216.39</v>
      </c>
      <c r="C1820" s="333">
        <v>379016.39</v>
      </c>
      <c r="D1820" s="486">
        <v>200</v>
      </c>
    </row>
    <row r="1821" spans="1:4" x14ac:dyDescent="0.2">
      <c r="A1821" s="344">
        <v>44901</v>
      </c>
      <c r="B1821" s="333">
        <f t="shared" si="27"/>
        <v>379216.39</v>
      </c>
      <c r="C1821" s="333">
        <f t="shared" si="26"/>
        <v>379016.39</v>
      </c>
      <c r="D1821" s="486">
        <v>200</v>
      </c>
    </row>
    <row r="1822" spans="1:4" x14ac:dyDescent="0.2">
      <c r="A1822" s="344">
        <v>44902</v>
      </c>
      <c r="B1822" s="333">
        <f t="shared" si="27"/>
        <v>379216.39</v>
      </c>
      <c r="C1822" s="333">
        <f t="shared" si="26"/>
        <v>379016.39</v>
      </c>
      <c r="D1822" s="486">
        <v>200</v>
      </c>
    </row>
    <row r="1823" spans="1:4" x14ac:dyDescent="0.2">
      <c r="A1823" s="344">
        <v>44903</v>
      </c>
      <c r="B1823" s="333">
        <f t="shared" si="27"/>
        <v>379216.39</v>
      </c>
      <c r="C1823" s="333">
        <f t="shared" si="26"/>
        <v>379016.39</v>
      </c>
      <c r="D1823" s="486">
        <v>200</v>
      </c>
    </row>
    <row r="1824" spans="1:4" x14ac:dyDescent="0.2">
      <c r="A1824" s="344">
        <v>44904</v>
      </c>
      <c r="B1824" s="333">
        <f t="shared" si="27"/>
        <v>383318.34</v>
      </c>
      <c r="C1824" s="333">
        <v>383118.34</v>
      </c>
      <c r="D1824" s="486">
        <v>200</v>
      </c>
    </row>
    <row r="1825" spans="1:4" x14ac:dyDescent="0.2">
      <c r="A1825" s="344">
        <v>44907</v>
      </c>
      <c r="B1825" s="333">
        <f t="shared" si="27"/>
        <v>383318.34</v>
      </c>
      <c r="C1825" s="333">
        <f t="shared" si="26"/>
        <v>383118.34</v>
      </c>
      <c r="D1825" s="486">
        <v>200</v>
      </c>
    </row>
    <row r="1826" spans="1:4" x14ac:dyDescent="0.2">
      <c r="A1826" s="344">
        <v>44908</v>
      </c>
      <c r="B1826" s="333">
        <f t="shared" si="27"/>
        <v>383318.34</v>
      </c>
      <c r="C1826" s="333">
        <f t="shared" si="26"/>
        <v>383118.34</v>
      </c>
      <c r="D1826" s="486">
        <v>200</v>
      </c>
    </row>
    <row r="1827" spans="1:4" x14ac:dyDescent="0.2">
      <c r="A1827" s="344">
        <v>44909</v>
      </c>
      <c r="B1827" s="333">
        <f t="shared" si="27"/>
        <v>378306.47</v>
      </c>
      <c r="C1827" s="333">
        <v>378106.47</v>
      </c>
      <c r="D1827" s="486">
        <v>200</v>
      </c>
    </row>
    <row r="1828" spans="1:4" x14ac:dyDescent="0.2">
      <c r="A1828" s="344">
        <v>44910</v>
      </c>
      <c r="B1828" s="333">
        <f t="shared" si="27"/>
        <v>385097.98</v>
      </c>
      <c r="C1828" s="333">
        <v>384897.98</v>
      </c>
      <c r="D1828" s="486">
        <v>200</v>
      </c>
    </row>
    <row r="1829" spans="1:4" x14ac:dyDescent="0.2">
      <c r="A1829" s="344">
        <v>44911</v>
      </c>
      <c r="B1829" s="333">
        <f t="shared" si="27"/>
        <v>385399.2</v>
      </c>
      <c r="C1829" s="333">
        <v>385199.2</v>
      </c>
      <c r="D1829" s="486">
        <v>200</v>
      </c>
    </row>
    <row r="1830" spans="1:4" x14ac:dyDescent="0.2">
      <c r="A1830" s="344">
        <v>44914</v>
      </c>
      <c r="B1830" s="333">
        <f t="shared" si="27"/>
        <v>385399.2</v>
      </c>
      <c r="C1830" s="333">
        <f t="shared" si="26"/>
        <v>385199.2</v>
      </c>
      <c r="D1830" s="486">
        <v>200</v>
      </c>
    </row>
    <row r="1831" spans="1:4" x14ac:dyDescent="0.2">
      <c r="A1831" s="344">
        <v>44915</v>
      </c>
      <c r="B1831" s="333">
        <f t="shared" si="27"/>
        <v>343338.22</v>
      </c>
      <c r="C1831" s="333">
        <v>343138.22</v>
      </c>
      <c r="D1831" s="486">
        <v>200</v>
      </c>
    </row>
    <row r="1832" spans="1:4" x14ac:dyDescent="0.2">
      <c r="A1832" s="344">
        <v>44916</v>
      </c>
      <c r="B1832" s="333">
        <f t="shared" si="27"/>
        <v>339355.16</v>
      </c>
      <c r="C1832" s="333">
        <v>339155.16</v>
      </c>
      <c r="D1832" s="486">
        <v>200</v>
      </c>
    </row>
    <row r="1833" spans="1:4" x14ac:dyDescent="0.2">
      <c r="A1833" s="344">
        <v>44917</v>
      </c>
      <c r="B1833" s="333">
        <f t="shared" si="27"/>
        <v>346945.63</v>
      </c>
      <c r="C1833" s="333">
        <v>346745.63</v>
      </c>
      <c r="D1833" s="486">
        <v>200</v>
      </c>
    </row>
    <row r="1834" spans="1:4" x14ac:dyDescent="0.2">
      <c r="A1834" s="344">
        <v>44918</v>
      </c>
      <c r="B1834" s="333">
        <f t="shared" si="27"/>
        <v>346470.13</v>
      </c>
      <c r="C1834" s="333">
        <v>346270.13</v>
      </c>
      <c r="D1834" s="486">
        <v>200</v>
      </c>
    </row>
    <row r="1835" spans="1:4" x14ac:dyDescent="0.2">
      <c r="A1835" s="344">
        <v>44921</v>
      </c>
      <c r="B1835" s="333">
        <f t="shared" si="27"/>
        <v>346470.13</v>
      </c>
      <c r="C1835" s="333">
        <f t="shared" si="26"/>
        <v>346270.13</v>
      </c>
      <c r="D1835" s="486">
        <v>200</v>
      </c>
    </row>
    <row r="1836" spans="1:4" x14ac:dyDescent="0.2">
      <c r="A1836" s="344">
        <v>44922</v>
      </c>
      <c r="B1836" s="333">
        <f t="shared" si="27"/>
        <v>346470.13</v>
      </c>
      <c r="C1836" s="333">
        <f t="shared" si="26"/>
        <v>346270.13</v>
      </c>
      <c r="D1836" s="486">
        <v>200</v>
      </c>
    </row>
    <row r="1837" spans="1:4" x14ac:dyDescent="0.2">
      <c r="A1837" s="344">
        <v>44923</v>
      </c>
      <c r="B1837" s="333">
        <f t="shared" si="27"/>
        <v>432503.36</v>
      </c>
      <c r="C1837" s="333">
        <v>432303.35999999999</v>
      </c>
      <c r="D1837" s="486">
        <v>200</v>
      </c>
    </row>
    <row r="1838" spans="1:4" x14ac:dyDescent="0.2">
      <c r="A1838" s="344">
        <v>44924</v>
      </c>
      <c r="B1838" s="333">
        <f t="shared" si="27"/>
        <v>432600.88</v>
      </c>
      <c r="C1838" s="333">
        <v>432400.88</v>
      </c>
      <c r="D1838" s="486">
        <v>200</v>
      </c>
    </row>
    <row r="1839" spans="1:4" x14ac:dyDescent="0.2">
      <c r="A1839" s="344">
        <v>44925</v>
      </c>
      <c r="B1839" s="370">
        <f t="shared" si="27"/>
        <v>432698.4</v>
      </c>
      <c r="C1839" s="333">
        <v>432498.4</v>
      </c>
      <c r="D1839" s="486">
        <v>200</v>
      </c>
    </row>
    <row r="1840" spans="1:4" x14ac:dyDescent="0.2">
      <c r="A1840" s="344">
        <v>44928</v>
      </c>
      <c r="B1840" s="333">
        <f t="shared" si="27"/>
        <v>432698.4</v>
      </c>
      <c r="C1840" s="333">
        <f t="shared" si="26"/>
        <v>432498.4</v>
      </c>
      <c r="D1840" s="486">
        <v>200</v>
      </c>
    </row>
    <row r="1841" spans="1:4" x14ac:dyDescent="0.2">
      <c r="A1841" s="344">
        <v>44929</v>
      </c>
      <c r="B1841" s="333">
        <f t="shared" si="27"/>
        <v>432648.4</v>
      </c>
      <c r="C1841" s="333">
        <v>432448.4</v>
      </c>
      <c r="D1841" s="486">
        <v>200</v>
      </c>
    </row>
    <row r="1842" spans="1:4" x14ac:dyDescent="0.2">
      <c r="A1842" s="344">
        <v>44930</v>
      </c>
      <c r="B1842" s="333">
        <f t="shared" si="27"/>
        <v>432648.4</v>
      </c>
      <c r="C1842" s="333">
        <f t="shared" ref="C1842:C1877" si="28">C1841</f>
        <v>432448.4</v>
      </c>
      <c r="D1842" s="486">
        <v>200</v>
      </c>
    </row>
    <row r="1843" spans="1:4" x14ac:dyDescent="0.2">
      <c r="A1843" s="344">
        <v>44931</v>
      </c>
      <c r="B1843" s="333">
        <f t="shared" si="27"/>
        <v>376288.8</v>
      </c>
      <c r="C1843" s="333">
        <v>376088.8</v>
      </c>
      <c r="D1843" s="486">
        <v>200</v>
      </c>
    </row>
    <row r="1844" spans="1:4" x14ac:dyDescent="0.2">
      <c r="A1844" s="344">
        <v>44932</v>
      </c>
      <c r="B1844" s="333">
        <f t="shared" si="27"/>
        <v>375846.51</v>
      </c>
      <c r="C1844" s="333">
        <v>375646.51</v>
      </c>
      <c r="D1844" s="486">
        <v>200</v>
      </c>
    </row>
    <row r="1845" spans="1:4" x14ac:dyDescent="0.2">
      <c r="A1845" s="344">
        <v>44935</v>
      </c>
      <c r="B1845" s="333">
        <f t="shared" si="27"/>
        <v>375246.51</v>
      </c>
      <c r="C1845" s="333">
        <v>375046.51</v>
      </c>
      <c r="D1845" s="486">
        <v>200</v>
      </c>
    </row>
    <row r="1846" spans="1:4" x14ac:dyDescent="0.2">
      <c r="A1846" s="344">
        <v>44936</v>
      </c>
      <c r="B1846" s="333">
        <f t="shared" si="27"/>
        <v>375703.51</v>
      </c>
      <c r="C1846" s="333">
        <v>375503.51</v>
      </c>
      <c r="D1846" s="486">
        <v>200</v>
      </c>
    </row>
    <row r="1847" spans="1:4" x14ac:dyDescent="0.2">
      <c r="A1847" s="344">
        <v>44937</v>
      </c>
      <c r="B1847" s="333">
        <f t="shared" si="27"/>
        <v>375837.32</v>
      </c>
      <c r="C1847" s="333">
        <v>375637.32</v>
      </c>
      <c r="D1847" s="486">
        <v>200</v>
      </c>
    </row>
    <row r="1848" spans="1:4" x14ac:dyDescent="0.2">
      <c r="A1848" s="344">
        <v>44938</v>
      </c>
      <c r="B1848" s="333">
        <f t="shared" si="27"/>
        <v>358313.37</v>
      </c>
      <c r="C1848" s="333">
        <v>358113.37</v>
      </c>
      <c r="D1848" s="486">
        <v>200</v>
      </c>
    </row>
    <row r="1849" spans="1:4" x14ac:dyDescent="0.2">
      <c r="A1849" s="344">
        <v>44939</v>
      </c>
      <c r="B1849" s="333">
        <f t="shared" si="27"/>
        <v>362655.36</v>
      </c>
      <c r="C1849" s="333">
        <v>362455.36</v>
      </c>
      <c r="D1849" s="486">
        <v>200</v>
      </c>
    </row>
    <row r="1850" spans="1:4" x14ac:dyDescent="0.2">
      <c r="A1850" s="344">
        <v>44942</v>
      </c>
      <c r="B1850" s="333">
        <f t="shared" si="27"/>
        <v>362655.36</v>
      </c>
      <c r="C1850" s="333">
        <f t="shared" si="28"/>
        <v>362455.36</v>
      </c>
      <c r="D1850" s="486">
        <v>200</v>
      </c>
    </row>
    <row r="1851" spans="1:4" x14ac:dyDescent="0.2">
      <c r="A1851" s="344">
        <v>44943</v>
      </c>
      <c r="B1851" s="333">
        <f t="shared" si="27"/>
        <v>296234.34999999998</v>
      </c>
      <c r="C1851" s="333">
        <v>296034.34999999998</v>
      </c>
      <c r="D1851" s="486">
        <v>200</v>
      </c>
    </row>
    <row r="1852" spans="1:4" x14ac:dyDescent="0.2">
      <c r="A1852" s="344">
        <v>44944</v>
      </c>
      <c r="B1852" s="333">
        <f t="shared" si="27"/>
        <v>309641.15000000002</v>
      </c>
      <c r="C1852" s="333">
        <v>309441.15000000002</v>
      </c>
      <c r="D1852" s="486">
        <v>200</v>
      </c>
    </row>
    <row r="1853" spans="1:4" x14ac:dyDescent="0.2">
      <c r="A1853" s="344">
        <v>44945</v>
      </c>
      <c r="B1853" s="333">
        <f t="shared" si="27"/>
        <v>316446.05</v>
      </c>
      <c r="C1853" s="333">
        <v>316246.05</v>
      </c>
      <c r="D1853" s="486">
        <v>200</v>
      </c>
    </row>
    <row r="1854" spans="1:4" x14ac:dyDescent="0.2">
      <c r="A1854" s="344">
        <v>44946</v>
      </c>
      <c r="B1854" s="333">
        <f t="shared" si="27"/>
        <v>315066.78000000003</v>
      </c>
      <c r="C1854" s="333">
        <v>314866.78000000003</v>
      </c>
      <c r="D1854" s="486">
        <v>200</v>
      </c>
    </row>
    <row r="1855" spans="1:4" x14ac:dyDescent="0.2">
      <c r="A1855" s="344">
        <v>44949</v>
      </c>
      <c r="B1855" s="333">
        <f t="shared" si="27"/>
        <v>314907.93</v>
      </c>
      <c r="C1855" s="333">
        <v>314707.93</v>
      </c>
      <c r="D1855" s="486">
        <v>200</v>
      </c>
    </row>
    <row r="1856" spans="1:4" x14ac:dyDescent="0.2">
      <c r="A1856" s="344">
        <v>44950</v>
      </c>
      <c r="B1856" s="333">
        <f t="shared" si="27"/>
        <v>314907.93</v>
      </c>
      <c r="C1856" s="333">
        <f t="shared" si="28"/>
        <v>314707.93</v>
      </c>
      <c r="D1856" s="486">
        <v>200</v>
      </c>
    </row>
    <row r="1857" spans="1:4" x14ac:dyDescent="0.2">
      <c r="A1857" s="344">
        <v>44951</v>
      </c>
      <c r="B1857" s="333">
        <f t="shared" si="27"/>
        <v>314907.93</v>
      </c>
      <c r="C1857" s="333">
        <f t="shared" si="28"/>
        <v>314707.93</v>
      </c>
      <c r="D1857" s="486">
        <v>200</v>
      </c>
    </row>
    <row r="1858" spans="1:4" x14ac:dyDescent="0.2">
      <c r="A1858" s="344">
        <v>44952</v>
      </c>
      <c r="B1858" s="333">
        <f t="shared" si="27"/>
        <v>315650.68</v>
      </c>
      <c r="C1858" s="333">
        <v>315450.68</v>
      </c>
      <c r="D1858" s="486">
        <v>200</v>
      </c>
    </row>
    <row r="1859" spans="1:4" x14ac:dyDescent="0.2">
      <c r="A1859" s="344">
        <v>44953</v>
      </c>
      <c r="B1859" s="333">
        <f t="shared" si="27"/>
        <v>291355.65000000002</v>
      </c>
      <c r="C1859" s="333">
        <v>291155.65000000002</v>
      </c>
      <c r="D1859" s="486">
        <v>200</v>
      </c>
    </row>
    <row r="1860" spans="1:4" x14ac:dyDescent="0.2">
      <c r="A1860" s="344">
        <v>44956</v>
      </c>
      <c r="B1860" s="333">
        <f t="shared" si="27"/>
        <v>270294.52</v>
      </c>
      <c r="C1860" s="333">
        <v>270094.52</v>
      </c>
      <c r="D1860" s="486">
        <v>200</v>
      </c>
    </row>
    <row r="1861" spans="1:4" x14ac:dyDescent="0.2">
      <c r="A1861" s="344">
        <v>44957</v>
      </c>
      <c r="B1861" s="333">
        <f t="shared" si="27"/>
        <v>269684.28999999998</v>
      </c>
      <c r="C1861" s="333">
        <v>269484.28999999998</v>
      </c>
      <c r="D1861" s="486">
        <v>200</v>
      </c>
    </row>
    <row r="1862" spans="1:4" x14ac:dyDescent="0.2">
      <c r="A1862" s="344">
        <v>44958</v>
      </c>
      <c r="B1862" s="333">
        <f t="shared" si="27"/>
        <v>269684.28999999998</v>
      </c>
      <c r="C1862" s="333">
        <f t="shared" si="28"/>
        <v>269484.28999999998</v>
      </c>
      <c r="D1862" s="486">
        <v>200</v>
      </c>
    </row>
    <row r="1863" spans="1:4" x14ac:dyDescent="0.2">
      <c r="A1863" s="344">
        <v>44959</v>
      </c>
      <c r="B1863" s="370">
        <f t="shared" si="27"/>
        <v>259972.42</v>
      </c>
      <c r="C1863" s="333">
        <v>259772.42</v>
      </c>
      <c r="D1863" s="486">
        <v>200</v>
      </c>
    </row>
    <row r="1864" spans="1:4" x14ac:dyDescent="0.2">
      <c r="A1864" s="344">
        <v>44960</v>
      </c>
      <c r="B1864" s="333">
        <f t="shared" si="27"/>
        <v>282694.13</v>
      </c>
      <c r="C1864" s="333">
        <v>282494.13</v>
      </c>
      <c r="D1864" s="486">
        <v>200</v>
      </c>
    </row>
    <row r="1865" spans="1:4" x14ac:dyDescent="0.2">
      <c r="A1865" s="344">
        <v>44963</v>
      </c>
      <c r="B1865" s="333">
        <f t="shared" si="27"/>
        <v>282636.44</v>
      </c>
      <c r="C1865" s="333">
        <v>282436.44</v>
      </c>
      <c r="D1865" s="486">
        <v>200</v>
      </c>
    </row>
    <row r="1866" spans="1:4" x14ac:dyDescent="0.2">
      <c r="A1866" s="344">
        <v>44964</v>
      </c>
      <c r="B1866" s="333">
        <f t="shared" ref="B1866:B1924" si="29">C1866+D1866</f>
        <v>298296.44</v>
      </c>
      <c r="C1866" s="333">
        <v>298096.44</v>
      </c>
      <c r="D1866" s="486">
        <v>200</v>
      </c>
    </row>
    <row r="1867" spans="1:4" x14ac:dyDescent="0.2">
      <c r="A1867" s="344">
        <v>44965</v>
      </c>
      <c r="B1867" s="333">
        <f t="shared" si="29"/>
        <v>298259.44</v>
      </c>
      <c r="C1867" s="333">
        <v>298059.44</v>
      </c>
      <c r="D1867" s="486">
        <v>200</v>
      </c>
    </row>
    <row r="1868" spans="1:4" x14ac:dyDescent="0.2">
      <c r="A1868" s="344">
        <v>44966</v>
      </c>
      <c r="B1868" s="333">
        <f t="shared" si="29"/>
        <v>286670.99</v>
      </c>
      <c r="C1868" s="333">
        <v>286470.99</v>
      </c>
      <c r="D1868" s="486">
        <v>200</v>
      </c>
    </row>
    <row r="1869" spans="1:4" x14ac:dyDescent="0.2">
      <c r="A1869" s="344">
        <v>44967</v>
      </c>
      <c r="B1869" s="333">
        <f t="shared" si="29"/>
        <v>329121.65000000002</v>
      </c>
      <c r="C1869" s="333">
        <v>328921.65000000002</v>
      </c>
      <c r="D1869" s="486">
        <v>200</v>
      </c>
    </row>
    <row r="1870" spans="1:4" x14ac:dyDescent="0.2">
      <c r="A1870" s="344">
        <v>44970</v>
      </c>
      <c r="B1870" s="333">
        <f t="shared" si="29"/>
        <v>287265.95</v>
      </c>
      <c r="C1870" s="333">
        <v>287065.95</v>
      </c>
      <c r="D1870" s="486">
        <v>200</v>
      </c>
    </row>
    <row r="1871" spans="1:4" x14ac:dyDescent="0.2">
      <c r="A1871" s="344">
        <v>44971</v>
      </c>
      <c r="B1871" s="333">
        <f t="shared" si="29"/>
        <v>291765.95</v>
      </c>
      <c r="C1871" s="333">
        <v>291565.95</v>
      </c>
      <c r="D1871" s="486">
        <v>200</v>
      </c>
    </row>
    <row r="1872" spans="1:4" x14ac:dyDescent="0.2">
      <c r="A1872" s="344">
        <v>44972</v>
      </c>
      <c r="B1872" s="333">
        <f t="shared" si="29"/>
        <v>291800.28000000003</v>
      </c>
      <c r="C1872" s="333">
        <v>291600.28000000003</v>
      </c>
      <c r="D1872" s="486">
        <v>200</v>
      </c>
    </row>
    <row r="1873" spans="1:4" x14ac:dyDescent="0.2">
      <c r="A1873" s="344">
        <v>44973</v>
      </c>
      <c r="B1873" s="333">
        <f t="shared" si="29"/>
        <v>298342.23</v>
      </c>
      <c r="C1873" s="333">
        <v>298142.23</v>
      </c>
      <c r="D1873" s="486">
        <v>200</v>
      </c>
    </row>
    <row r="1874" spans="1:4" x14ac:dyDescent="0.2">
      <c r="A1874" s="344">
        <v>44974</v>
      </c>
      <c r="B1874" s="333">
        <f t="shared" si="29"/>
        <v>292633.62</v>
      </c>
      <c r="C1874" s="333">
        <v>292433.62</v>
      </c>
      <c r="D1874" s="486">
        <v>200</v>
      </c>
    </row>
    <row r="1875" spans="1:4" x14ac:dyDescent="0.2">
      <c r="A1875" s="344">
        <v>44977</v>
      </c>
      <c r="B1875" s="333">
        <f t="shared" si="29"/>
        <v>292633.62</v>
      </c>
      <c r="C1875" s="333">
        <f t="shared" si="28"/>
        <v>292433.62</v>
      </c>
      <c r="D1875" s="486">
        <v>200</v>
      </c>
    </row>
    <row r="1876" spans="1:4" x14ac:dyDescent="0.2">
      <c r="A1876" s="344">
        <v>44978</v>
      </c>
      <c r="B1876" s="333">
        <f t="shared" si="29"/>
        <v>320810.26</v>
      </c>
      <c r="C1876" s="333">
        <v>320610.26</v>
      </c>
      <c r="D1876" s="486">
        <v>200</v>
      </c>
    </row>
    <row r="1877" spans="1:4" x14ac:dyDescent="0.2">
      <c r="A1877" s="344">
        <v>44979</v>
      </c>
      <c r="B1877" s="333">
        <f t="shared" si="29"/>
        <v>320810.26</v>
      </c>
      <c r="C1877" s="333">
        <f t="shared" si="28"/>
        <v>320610.26</v>
      </c>
      <c r="D1877" s="486">
        <v>200</v>
      </c>
    </row>
    <row r="1878" spans="1:4" x14ac:dyDescent="0.2">
      <c r="A1878" s="344">
        <v>44980</v>
      </c>
      <c r="B1878" s="333">
        <f t="shared" si="29"/>
        <v>341705.89</v>
      </c>
      <c r="C1878" s="333">
        <v>341505.89</v>
      </c>
      <c r="D1878" s="486">
        <v>200</v>
      </c>
    </row>
    <row r="1879" spans="1:4" x14ac:dyDescent="0.2">
      <c r="A1879" s="344">
        <v>44981</v>
      </c>
      <c r="B1879" s="333">
        <f t="shared" si="29"/>
        <v>341754.4</v>
      </c>
      <c r="C1879" s="333">
        <v>341554.4</v>
      </c>
      <c r="D1879" s="486">
        <v>200</v>
      </c>
    </row>
    <row r="1880" spans="1:4" x14ac:dyDescent="0.2">
      <c r="A1880" s="344">
        <v>44984</v>
      </c>
      <c r="B1880" s="333">
        <f t="shared" si="29"/>
        <v>330670.37</v>
      </c>
      <c r="C1880" s="333">
        <v>330470.37</v>
      </c>
      <c r="D1880" s="486">
        <v>200</v>
      </c>
    </row>
    <row r="1881" spans="1:4" x14ac:dyDescent="0.2">
      <c r="A1881" s="344">
        <v>44985</v>
      </c>
      <c r="B1881" s="333">
        <f t="shared" si="29"/>
        <v>338045.7</v>
      </c>
      <c r="C1881" s="333">
        <v>337845.7</v>
      </c>
      <c r="D1881" s="486">
        <v>200</v>
      </c>
    </row>
    <row r="1882" spans="1:4" x14ac:dyDescent="0.2">
      <c r="A1882" s="344">
        <v>44986</v>
      </c>
      <c r="B1882" s="333">
        <f t="shared" si="29"/>
        <v>338604.7</v>
      </c>
      <c r="C1882" s="333">
        <v>338404.7</v>
      </c>
      <c r="D1882" s="486">
        <v>200</v>
      </c>
    </row>
    <row r="1883" spans="1:4" x14ac:dyDescent="0.2">
      <c r="A1883" s="344">
        <v>44987</v>
      </c>
      <c r="B1883" s="333">
        <f t="shared" si="29"/>
        <v>329491.15000000002</v>
      </c>
      <c r="C1883" s="333">
        <v>329291.15000000002</v>
      </c>
      <c r="D1883" s="486">
        <v>200</v>
      </c>
    </row>
    <row r="1884" spans="1:4" x14ac:dyDescent="0.2">
      <c r="A1884" s="344">
        <v>44988</v>
      </c>
      <c r="B1884" s="333">
        <f t="shared" si="29"/>
        <v>329106.55</v>
      </c>
      <c r="C1884" s="333">
        <v>328906.55</v>
      </c>
      <c r="D1884" s="486">
        <v>200</v>
      </c>
    </row>
    <row r="1885" spans="1:4" x14ac:dyDescent="0.2">
      <c r="A1885" s="344">
        <v>44991</v>
      </c>
      <c r="B1885" s="333">
        <f t="shared" si="29"/>
        <v>329106.55</v>
      </c>
      <c r="C1885" s="333">
        <f t="shared" ref="C1885:C1947" si="30">C1884</f>
        <v>328906.55</v>
      </c>
      <c r="D1885" s="486">
        <v>200</v>
      </c>
    </row>
    <row r="1886" spans="1:4" x14ac:dyDescent="0.2">
      <c r="A1886" s="344">
        <v>44992</v>
      </c>
      <c r="B1886" s="333">
        <f t="shared" si="29"/>
        <v>366692.56</v>
      </c>
      <c r="C1886" s="333">
        <v>366492.56</v>
      </c>
      <c r="D1886" s="486">
        <v>200</v>
      </c>
    </row>
    <row r="1887" spans="1:4" x14ac:dyDescent="0.2">
      <c r="A1887" s="344">
        <v>44993</v>
      </c>
      <c r="B1887" s="333">
        <f t="shared" si="29"/>
        <v>368956.85</v>
      </c>
      <c r="C1887" s="333">
        <v>368756.85</v>
      </c>
      <c r="D1887" s="486">
        <v>200</v>
      </c>
    </row>
    <row r="1888" spans="1:4" x14ac:dyDescent="0.2">
      <c r="A1888" s="344">
        <v>44994</v>
      </c>
      <c r="B1888" s="333">
        <f t="shared" si="29"/>
        <v>390880.67</v>
      </c>
      <c r="C1888" s="333">
        <v>390680.67</v>
      </c>
      <c r="D1888" s="486">
        <v>200</v>
      </c>
    </row>
    <row r="1889" spans="1:4" x14ac:dyDescent="0.2">
      <c r="A1889" s="344">
        <v>44995</v>
      </c>
      <c r="B1889" s="333">
        <f t="shared" si="29"/>
        <v>414120.74</v>
      </c>
      <c r="C1889" s="333">
        <v>413920.74</v>
      </c>
      <c r="D1889" s="486">
        <v>200</v>
      </c>
    </row>
    <row r="1890" spans="1:4" x14ac:dyDescent="0.2">
      <c r="A1890" s="344">
        <v>44998</v>
      </c>
      <c r="B1890" s="333">
        <f t="shared" si="29"/>
        <v>424130.52</v>
      </c>
      <c r="C1890" s="333">
        <v>423930.52</v>
      </c>
      <c r="D1890" s="486">
        <v>200</v>
      </c>
    </row>
    <row r="1891" spans="1:4" x14ac:dyDescent="0.2">
      <c r="A1891" s="344">
        <v>44999</v>
      </c>
      <c r="B1891" s="333">
        <f t="shared" si="29"/>
        <v>424130.52</v>
      </c>
      <c r="C1891" s="333">
        <f t="shared" si="30"/>
        <v>423930.52</v>
      </c>
      <c r="D1891" s="486">
        <v>200</v>
      </c>
    </row>
    <row r="1892" spans="1:4" x14ac:dyDescent="0.2">
      <c r="A1892" s="344">
        <v>45000</v>
      </c>
      <c r="B1892" s="333">
        <f t="shared" si="29"/>
        <v>424163.34</v>
      </c>
      <c r="C1892" s="333">
        <v>423963.34</v>
      </c>
      <c r="D1892" s="486">
        <v>200</v>
      </c>
    </row>
    <row r="1893" spans="1:4" x14ac:dyDescent="0.2">
      <c r="A1893" s="344">
        <v>45001</v>
      </c>
      <c r="B1893" s="333">
        <f t="shared" si="29"/>
        <v>422350.37</v>
      </c>
      <c r="C1893" s="333">
        <v>422150.37</v>
      </c>
      <c r="D1893" s="486">
        <v>200</v>
      </c>
    </row>
    <row r="1894" spans="1:4" x14ac:dyDescent="0.2">
      <c r="A1894" s="344">
        <v>45002</v>
      </c>
      <c r="B1894" s="333">
        <f t="shared" si="29"/>
        <v>421965.77</v>
      </c>
      <c r="C1894" s="333">
        <v>421765.77</v>
      </c>
      <c r="D1894" s="486">
        <v>200</v>
      </c>
    </row>
    <row r="1895" spans="1:4" x14ac:dyDescent="0.2">
      <c r="A1895" s="344">
        <v>45005</v>
      </c>
      <c r="B1895" s="333">
        <f t="shared" si="29"/>
        <v>419047.88</v>
      </c>
      <c r="C1895" s="333">
        <v>418847.88</v>
      </c>
      <c r="D1895" s="486">
        <v>200</v>
      </c>
    </row>
    <row r="1896" spans="1:4" x14ac:dyDescent="0.2">
      <c r="A1896" s="344">
        <v>45006</v>
      </c>
      <c r="B1896" s="333">
        <f t="shared" si="29"/>
        <v>425165.2</v>
      </c>
      <c r="C1896" s="333">
        <v>424965.2</v>
      </c>
      <c r="D1896" s="486">
        <v>200</v>
      </c>
    </row>
    <row r="1897" spans="1:4" x14ac:dyDescent="0.2">
      <c r="A1897" s="344">
        <v>45007</v>
      </c>
      <c r="B1897" s="333">
        <f t="shared" si="29"/>
        <v>415468.61</v>
      </c>
      <c r="C1897" s="333">
        <v>415268.61</v>
      </c>
      <c r="D1897" s="486">
        <v>200</v>
      </c>
    </row>
    <row r="1898" spans="1:4" x14ac:dyDescent="0.2">
      <c r="A1898" s="344">
        <v>45008</v>
      </c>
      <c r="B1898" s="333">
        <f t="shared" si="29"/>
        <v>444345.89</v>
      </c>
      <c r="C1898" s="333">
        <v>444145.89</v>
      </c>
      <c r="D1898" s="486">
        <v>200</v>
      </c>
    </row>
    <row r="1899" spans="1:4" x14ac:dyDescent="0.2">
      <c r="A1899" s="344">
        <v>45009</v>
      </c>
      <c r="B1899" s="333">
        <f t="shared" si="29"/>
        <v>444345.89</v>
      </c>
      <c r="C1899" s="333">
        <f t="shared" si="30"/>
        <v>444145.89</v>
      </c>
      <c r="D1899" s="486">
        <v>200</v>
      </c>
    </row>
    <row r="1900" spans="1:4" x14ac:dyDescent="0.2">
      <c r="A1900" s="344">
        <v>45012</v>
      </c>
      <c r="B1900" s="370">
        <f t="shared" si="29"/>
        <v>472758.17</v>
      </c>
      <c r="C1900" s="333">
        <v>472558.17</v>
      </c>
      <c r="D1900" s="486">
        <v>200</v>
      </c>
    </row>
    <row r="1901" spans="1:4" x14ac:dyDescent="0.2">
      <c r="A1901" s="344">
        <v>45013</v>
      </c>
      <c r="B1901" s="333">
        <f t="shared" si="29"/>
        <v>431931.97</v>
      </c>
      <c r="C1901" s="333">
        <v>431731.97</v>
      </c>
      <c r="D1901" s="486">
        <v>200</v>
      </c>
    </row>
    <row r="1902" spans="1:4" x14ac:dyDescent="0.2">
      <c r="A1902" s="344">
        <v>45014</v>
      </c>
      <c r="B1902" s="333">
        <f t="shared" si="29"/>
        <v>435079.42</v>
      </c>
      <c r="C1902" s="333">
        <v>434879.42</v>
      </c>
      <c r="D1902" s="486">
        <v>200</v>
      </c>
    </row>
    <row r="1903" spans="1:4" x14ac:dyDescent="0.2">
      <c r="A1903" s="344">
        <v>45015</v>
      </c>
      <c r="B1903" s="333">
        <f t="shared" si="29"/>
        <v>424040.9</v>
      </c>
      <c r="C1903" s="333">
        <v>423840.9</v>
      </c>
      <c r="D1903" s="486">
        <v>200</v>
      </c>
    </row>
    <row r="1904" spans="1:4" x14ac:dyDescent="0.2">
      <c r="A1904" s="344">
        <v>45016</v>
      </c>
      <c r="B1904" s="333">
        <f t="shared" si="29"/>
        <v>449683.31</v>
      </c>
      <c r="C1904" s="333">
        <v>449483.31</v>
      </c>
      <c r="D1904" s="486">
        <v>200</v>
      </c>
    </row>
    <row r="1905" spans="1:4" x14ac:dyDescent="0.2">
      <c r="A1905" s="344">
        <v>45019</v>
      </c>
      <c r="B1905" s="333">
        <f t="shared" si="29"/>
        <v>449683.31</v>
      </c>
      <c r="C1905" s="333">
        <f t="shared" si="30"/>
        <v>449483.31</v>
      </c>
      <c r="D1905" s="486">
        <v>200</v>
      </c>
    </row>
    <row r="1906" spans="1:4" x14ac:dyDescent="0.2">
      <c r="A1906" s="344">
        <v>45020</v>
      </c>
      <c r="B1906" s="333">
        <f t="shared" si="29"/>
        <v>449683.31</v>
      </c>
      <c r="C1906" s="333">
        <f t="shared" si="30"/>
        <v>449483.31</v>
      </c>
      <c r="D1906" s="486">
        <v>200</v>
      </c>
    </row>
    <row r="1907" spans="1:4" x14ac:dyDescent="0.2">
      <c r="A1907" s="344">
        <v>45021</v>
      </c>
      <c r="B1907" s="333">
        <f t="shared" si="29"/>
        <v>449683.31</v>
      </c>
      <c r="C1907" s="333">
        <f t="shared" si="30"/>
        <v>449483.31</v>
      </c>
      <c r="D1907" s="486">
        <v>200</v>
      </c>
    </row>
    <row r="1908" spans="1:4" x14ac:dyDescent="0.2">
      <c r="A1908" s="344">
        <v>45022</v>
      </c>
      <c r="B1908" s="333">
        <f t="shared" si="29"/>
        <v>425038.75</v>
      </c>
      <c r="C1908" s="333">
        <v>424838.75</v>
      </c>
      <c r="D1908" s="486">
        <v>200</v>
      </c>
    </row>
    <row r="1909" spans="1:4" x14ac:dyDescent="0.2">
      <c r="A1909" s="344">
        <v>45023</v>
      </c>
      <c r="B1909" s="333">
        <f t="shared" si="29"/>
        <v>425038.75</v>
      </c>
      <c r="C1909" s="333">
        <f t="shared" si="30"/>
        <v>424838.75</v>
      </c>
      <c r="D1909" s="486">
        <v>200</v>
      </c>
    </row>
    <row r="1910" spans="1:4" x14ac:dyDescent="0.2">
      <c r="A1910" s="344">
        <v>45026</v>
      </c>
      <c r="B1910" s="333">
        <f t="shared" si="29"/>
        <v>381899.02</v>
      </c>
      <c r="C1910" s="333">
        <v>381699.02</v>
      </c>
      <c r="D1910" s="486">
        <v>200</v>
      </c>
    </row>
    <row r="1911" spans="1:4" x14ac:dyDescent="0.2">
      <c r="A1911" s="344">
        <v>45027</v>
      </c>
      <c r="B1911" s="333">
        <f t="shared" si="29"/>
        <v>403291.29</v>
      </c>
      <c r="C1911" s="333">
        <v>403091.29</v>
      </c>
      <c r="D1911" s="486">
        <v>200</v>
      </c>
    </row>
    <row r="1912" spans="1:4" x14ac:dyDescent="0.2">
      <c r="A1912" s="344">
        <v>45028</v>
      </c>
      <c r="B1912" s="333">
        <f t="shared" si="29"/>
        <v>398523.39</v>
      </c>
      <c r="C1912" s="333">
        <v>398323.39</v>
      </c>
      <c r="D1912" s="486">
        <v>200</v>
      </c>
    </row>
    <row r="1913" spans="1:4" x14ac:dyDescent="0.2">
      <c r="A1913" s="344">
        <v>45029</v>
      </c>
      <c r="B1913" s="333">
        <f t="shared" si="29"/>
        <v>405256.29</v>
      </c>
      <c r="C1913" s="333">
        <v>405056.29</v>
      </c>
      <c r="D1913" s="486">
        <v>200</v>
      </c>
    </row>
    <row r="1914" spans="1:4" x14ac:dyDescent="0.2">
      <c r="A1914" s="344">
        <v>45030</v>
      </c>
      <c r="B1914" s="333">
        <f t="shared" si="29"/>
        <v>404915.18</v>
      </c>
      <c r="C1914" s="333">
        <v>404715.18</v>
      </c>
      <c r="D1914" s="486">
        <v>200</v>
      </c>
    </row>
    <row r="1915" spans="1:4" x14ac:dyDescent="0.2">
      <c r="A1915" s="344">
        <v>45033</v>
      </c>
      <c r="B1915" s="333">
        <f t="shared" si="29"/>
        <v>403828.39</v>
      </c>
      <c r="C1915" s="333">
        <v>403628.39</v>
      </c>
      <c r="D1915" s="486">
        <v>200</v>
      </c>
    </row>
    <row r="1916" spans="1:4" x14ac:dyDescent="0.2">
      <c r="A1916" s="344">
        <v>45034</v>
      </c>
      <c r="B1916" s="333">
        <f t="shared" si="29"/>
        <v>403828.39</v>
      </c>
      <c r="C1916" s="333">
        <f t="shared" si="30"/>
        <v>403628.39</v>
      </c>
      <c r="D1916" s="486">
        <v>200</v>
      </c>
    </row>
    <row r="1917" spans="1:4" x14ac:dyDescent="0.2">
      <c r="A1917" s="344">
        <v>45035</v>
      </c>
      <c r="B1917" s="333">
        <f t="shared" si="29"/>
        <v>434721.04</v>
      </c>
      <c r="C1917" s="333">
        <v>434521.04</v>
      </c>
      <c r="D1917" s="486">
        <v>200</v>
      </c>
    </row>
    <row r="1918" spans="1:4" x14ac:dyDescent="0.2">
      <c r="A1918" s="344">
        <v>45036</v>
      </c>
      <c r="B1918" s="333">
        <f t="shared" si="29"/>
        <v>421127.98</v>
      </c>
      <c r="C1918" s="333">
        <v>420927.98</v>
      </c>
      <c r="D1918" s="486">
        <v>200</v>
      </c>
    </row>
    <row r="1919" spans="1:4" x14ac:dyDescent="0.2">
      <c r="A1919" s="344">
        <v>45037</v>
      </c>
      <c r="B1919" s="333">
        <f t="shared" si="29"/>
        <v>420969.13</v>
      </c>
      <c r="C1919" s="333">
        <v>420769.13</v>
      </c>
      <c r="D1919" s="486">
        <v>200</v>
      </c>
    </row>
    <row r="1920" spans="1:4" x14ac:dyDescent="0.2">
      <c r="A1920" s="344">
        <v>45040</v>
      </c>
      <c r="B1920" s="333">
        <f t="shared" si="29"/>
        <v>420969.13</v>
      </c>
      <c r="C1920" s="333">
        <f t="shared" si="30"/>
        <v>420769.13</v>
      </c>
      <c r="D1920" s="486">
        <v>200</v>
      </c>
    </row>
    <row r="1921" spans="1:4" x14ac:dyDescent="0.2">
      <c r="A1921" s="344">
        <v>45041</v>
      </c>
      <c r="B1921" s="333">
        <f t="shared" si="29"/>
        <v>379345</v>
      </c>
      <c r="C1921" s="333">
        <v>379145</v>
      </c>
      <c r="D1921" s="486">
        <v>200</v>
      </c>
    </row>
    <row r="1922" spans="1:4" x14ac:dyDescent="0.2">
      <c r="A1922" s="344">
        <v>45042</v>
      </c>
      <c r="B1922" s="333">
        <f t="shared" si="29"/>
        <v>379345</v>
      </c>
      <c r="C1922" s="333">
        <f t="shared" si="30"/>
        <v>379145</v>
      </c>
      <c r="D1922" s="486">
        <v>200</v>
      </c>
    </row>
    <row r="1923" spans="1:4" x14ac:dyDescent="0.2">
      <c r="A1923" s="344">
        <v>45043</v>
      </c>
      <c r="B1923" s="333">
        <f t="shared" si="29"/>
        <v>379345</v>
      </c>
      <c r="C1923" s="333">
        <f t="shared" si="30"/>
        <v>379145</v>
      </c>
      <c r="D1923" s="486">
        <v>200</v>
      </c>
    </row>
    <row r="1924" spans="1:4" x14ac:dyDescent="0.2">
      <c r="A1924" s="344">
        <v>45044</v>
      </c>
      <c r="B1924" s="333">
        <f t="shared" si="29"/>
        <v>402733.09</v>
      </c>
      <c r="C1924" s="333">
        <v>402533.09</v>
      </c>
      <c r="D1924" s="486">
        <v>200</v>
      </c>
    </row>
    <row r="1925" spans="1:4" x14ac:dyDescent="0.2">
      <c r="A1925" s="344">
        <v>45047</v>
      </c>
      <c r="B1925" s="333">
        <f t="shared" ref="B1925:B1969" si="31">C1925+D1925</f>
        <v>403316.09</v>
      </c>
      <c r="C1925" s="333">
        <v>403116.09</v>
      </c>
      <c r="D1925" s="486">
        <v>200</v>
      </c>
    </row>
    <row r="1926" spans="1:4" x14ac:dyDescent="0.2">
      <c r="A1926" s="344">
        <v>45048</v>
      </c>
      <c r="B1926" s="333">
        <f t="shared" si="31"/>
        <v>403316.09</v>
      </c>
      <c r="C1926" s="333">
        <f t="shared" si="30"/>
        <v>403116.09</v>
      </c>
      <c r="D1926" s="486">
        <v>200</v>
      </c>
    </row>
    <row r="1927" spans="1:4" x14ac:dyDescent="0.2">
      <c r="A1927" s="344">
        <v>45049</v>
      </c>
      <c r="B1927" s="333">
        <f t="shared" si="31"/>
        <v>385876.12</v>
      </c>
      <c r="C1927" s="333">
        <v>385676.12</v>
      </c>
      <c r="D1927" s="486">
        <v>200</v>
      </c>
    </row>
    <row r="1928" spans="1:4" x14ac:dyDescent="0.2">
      <c r="A1928" s="344">
        <v>45050</v>
      </c>
      <c r="B1928" s="333">
        <f t="shared" si="31"/>
        <v>351812.45</v>
      </c>
      <c r="C1928" s="333">
        <v>351612.45</v>
      </c>
      <c r="D1928" s="486">
        <v>200</v>
      </c>
    </row>
    <row r="1929" spans="1:4" x14ac:dyDescent="0.2">
      <c r="A1929" s="344">
        <v>45051</v>
      </c>
      <c r="B1929" s="333">
        <f t="shared" si="31"/>
        <v>351812.45</v>
      </c>
      <c r="C1929" s="333">
        <f t="shared" si="30"/>
        <v>351612.45</v>
      </c>
      <c r="D1929" s="486">
        <v>200</v>
      </c>
    </row>
    <row r="1930" spans="1:4" x14ac:dyDescent="0.2">
      <c r="A1930" s="344">
        <v>45054</v>
      </c>
      <c r="B1930" s="333">
        <f t="shared" si="31"/>
        <v>368195.43</v>
      </c>
      <c r="C1930" s="333">
        <v>367995.43</v>
      </c>
      <c r="D1930" s="486">
        <v>200</v>
      </c>
    </row>
    <row r="1931" spans="1:4" x14ac:dyDescent="0.2">
      <c r="A1931" s="344">
        <v>45055</v>
      </c>
      <c r="B1931" s="333">
        <f t="shared" si="31"/>
        <v>368195.43</v>
      </c>
      <c r="C1931" s="333">
        <f t="shared" si="30"/>
        <v>367995.43</v>
      </c>
      <c r="D1931" s="486">
        <v>200</v>
      </c>
    </row>
    <row r="1932" spans="1:4" x14ac:dyDescent="0.2">
      <c r="A1932" s="344">
        <v>45056</v>
      </c>
      <c r="B1932" s="333">
        <f t="shared" si="31"/>
        <v>368195.43</v>
      </c>
      <c r="C1932" s="333">
        <f t="shared" si="30"/>
        <v>367995.43</v>
      </c>
      <c r="D1932" s="486">
        <v>200</v>
      </c>
    </row>
    <row r="1933" spans="1:4" x14ac:dyDescent="0.2">
      <c r="A1933" s="344">
        <v>45057</v>
      </c>
      <c r="B1933" s="333">
        <f t="shared" si="31"/>
        <v>368195.43</v>
      </c>
      <c r="C1933" s="333">
        <f t="shared" si="30"/>
        <v>367995.43</v>
      </c>
      <c r="D1933" s="486">
        <v>200</v>
      </c>
    </row>
    <row r="1934" spans="1:4" x14ac:dyDescent="0.2">
      <c r="A1934" s="344">
        <v>45058</v>
      </c>
      <c r="B1934" s="333">
        <f t="shared" si="31"/>
        <v>367810.83</v>
      </c>
      <c r="C1934" s="333">
        <v>367610.83</v>
      </c>
      <c r="D1934" s="486">
        <v>200</v>
      </c>
    </row>
    <row r="1935" spans="1:4" x14ac:dyDescent="0.2">
      <c r="A1935" s="344">
        <v>45061</v>
      </c>
      <c r="B1935" s="333">
        <f t="shared" si="31"/>
        <v>367851.39</v>
      </c>
      <c r="C1935" s="333">
        <v>367651.39</v>
      </c>
      <c r="D1935" s="486">
        <v>200</v>
      </c>
    </row>
    <row r="1936" spans="1:4" x14ac:dyDescent="0.2">
      <c r="A1936" s="344">
        <v>45062</v>
      </c>
      <c r="B1936" s="333">
        <f t="shared" si="31"/>
        <v>367851.39</v>
      </c>
      <c r="C1936" s="333">
        <f t="shared" si="30"/>
        <v>367651.39</v>
      </c>
      <c r="D1936" s="486">
        <v>200</v>
      </c>
    </row>
    <row r="1937" spans="1:4" x14ac:dyDescent="0.2">
      <c r="A1937" s="344">
        <v>45063</v>
      </c>
      <c r="B1937" s="333">
        <f t="shared" si="31"/>
        <v>367851.39</v>
      </c>
      <c r="C1937" s="333">
        <f t="shared" si="30"/>
        <v>367651.39</v>
      </c>
      <c r="D1937" s="486">
        <v>200</v>
      </c>
    </row>
    <row r="1938" spans="1:4" x14ac:dyDescent="0.2">
      <c r="A1938" s="344">
        <v>45064</v>
      </c>
      <c r="B1938" s="333">
        <f t="shared" si="31"/>
        <v>356642.57</v>
      </c>
      <c r="C1938" s="333">
        <v>356442.57</v>
      </c>
      <c r="D1938" s="486">
        <v>200</v>
      </c>
    </row>
    <row r="1939" spans="1:4" x14ac:dyDescent="0.2">
      <c r="A1939" s="344">
        <v>45065</v>
      </c>
      <c r="B1939" s="333">
        <f t="shared" si="31"/>
        <v>356642.57</v>
      </c>
      <c r="C1939" s="333">
        <f t="shared" si="30"/>
        <v>356442.57</v>
      </c>
      <c r="D1939" s="486">
        <v>200</v>
      </c>
    </row>
    <row r="1940" spans="1:4" x14ac:dyDescent="0.2">
      <c r="A1940" s="344">
        <v>45068</v>
      </c>
      <c r="B1940" s="333">
        <f t="shared" si="31"/>
        <v>308974.21000000002</v>
      </c>
      <c r="C1940" s="333">
        <v>308774.21000000002</v>
      </c>
      <c r="D1940" s="486">
        <v>200</v>
      </c>
    </row>
    <row r="1941" spans="1:4" x14ac:dyDescent="0.2">
      <c r="A1941" s="344">
        <v>45069</v>
      </c>
      <c r="B1941" s="333">
        <f t="shared" si="31"/>
        <v>338753.05</v>
      </c>
      <c r="C1941" s="333">
        <v>338553.05</v>
      </c>
      <c r="D1941" s="486">
        <v>200</v>
      </c>
    </row>
    <row r="1942" spans="1:4" x14ac:dyDescent="0.2">
      <c r="A1942" s="344">
        <v>45070</v>
      </c>
      <c r="B1942" s="333">
        <f t="shared" si="31"/>
        <v>391263.14</v>
      </c>
      <c r="C1942" s="333">
        <v>391063.14</v>
      </c>
      <c r="D1942" s="486">
        <v>200</v>
      </c>
    </row>
    <row r="1943" spans="1:4" x14ac:dyDescent="0.2">
      <c r="A1943" s="344">
        <v>45071</v>
      </c>
      <c r="B1943" s="333">
        <f t="shared" si="31"/>
        <v>391263.14</v>
      </c>
      <c r="C1943" s="333">
        <f t="shared" si="30"/>
        <v>391063.14</v>
      </c>
      <c r="D1943" s="486">
        <v>200</v>
      </c>
    </row>
    <row r="1944" spans="1:4" x14ac:dyDescent="0.2">
      <c r="A1944" s="344">
        <v>45072</v>
      </c>
      <c r="B1944" s="333">
        <f t="shared" si="31"/>
        <v>449119.47</v>
      </c>
      <c r="C1944" s="333">
        <v>448919.47</v>
      </c>
      <c r="D1944" s="486">
        <v>200</v>
      </c>
    </row>
    <row r="1945" spans="1:4" x14ac:dyDescent="0.2">
      <c r="A1945" s="344">
        <v>45075</v>
      </c>
      <c r="B1945" s="333">
        <f t="shared" si="31"/>
        <v>449119.47</v>
      </c>
      <c r="C1945" s="333">
        <f t="shared" si="30"/>
        <v>448919.47</v>
      </c>
      <c r="D1945" s="486">
        <v>200</v>
      </c>
    </row>
    <row r="1946" spans="1:4" x14ac:dyDescent="0.2">
      <c r="A1946" s="344">
        <v>45076</v>
      </c>
      <c r="B1946" s="333">
        <f t="shared" si="31"/>
        <v>448869.47</v>
      </c>
      <c r="C1946" s="333">
        <v>448669.47</v>
      </c>
      <c r="D1946" s="486">
        <v>200</v>
      </c>
    </row>
    <row r="1947" spans="1:4" x14ac:dyDescent="0.2">
      <c r="A1947" s="344">
        <v>45077</v>
      </c>
      <c r="B1947" s="333">
        <f t="shared" si="31"/>
        <v>448869.47</v>
      </c>
      <c r="C1947" s="333">
        <f t="shared" si="30"/>
        <v>448669.47</v>
      </c>
      <c r="D1947" s="486">
        <v>200</v>
      </c>
    </row>
    <row r="1948" spans="1:4" x14ac:dyDescent="0.2">
      <c r="A1948" s="344">
        <v>45078</v>
      </c>
      <c r="B1948" s="333">
        <f t="shared" si="31"/>
        <v>438853.17</v>
      </c>
      <c r="C1948" s="333">
        <v>438653.17</v>
      </c>
      <c r="D1948" s="486">
        <v>200</v>
      </c>
    </row>
    <row r="1949" spans="1:4" x14ac:dyDescent="0.2">
      <c r="A1949" s="344">
        <v>45079</v>
      </c>
      <c r="B1949" s="333">
        <f t="shared" si="31"/>
        <v>439117.17</v>
      </c>
      <c r="C1949" s="333">
        <v>438917.17</v>
      </c>
      <c r="D1949" s="486">
        <v>200</v>
      </c>
    </row>
    <row r="1950" spans="1:4" x14ac:dyDescent="0.2">
      <c r="A1950" s="344">
        <v>45082</v>
      </c>
      <c r="B1950" s="333">
        <f t="shared" si="31"/>
        <v>407163.47</v>
      </c>
      <c r="C1950" s="333">
        <v>406963.47</v>
      </c>
      <c r="D1950" s="486">
        <v>200</v>
      </c>
    </row>
    <row r="1951" spans="1:4" x14ac:dyDescent="0.2">
      <c r="A1951" s="344">
        <v>45083</v>
      </c>
      <c r="B1951" s="333">
        <f t="shared" si="31"/>
        <v>415855.1</v>
      </c>
      <c r="C1951" s="333">
        <v>415655.1</v>
      </c>
      <c r="D1951" s="486">
        <v>200</v>
      </c>
    </row>
    <row r="1952" spans="1:4" x14ac:dyDescent="0.2">
      <c r="A1952" s="344">
        <v>45084</v>
      </c>
      <c r="B1952" s="333">
        <f t="shared" si="31"/>
        <v>415855.1</v>
      </c>
      <c r="C1952" s="333">
        <f t="shared" ref="C1952:C1965" si="32">C1951</f>
        <v>415655.1</v>
      </c>
      <c r="D1952" s="486">
        <v>200</v>
      </c>
    </row>
    <row r="1953" spans="1:4" x14ac:dyDescent="0.2">
      <c r="A1953" s="344">
        <v>45085</v>
      </c>
      <c r="B1953" s="333">
        <f t="shared" si="31"/>
        <v>412361.18</v>
      </c>
      <c r="C1953" s="333">
        <v>412161.18</v>
      </c>
      <c r="D1953" s="486">
        <v>200</v>
      </c>
    </row>
    <row r="1954" spans="1:4" x14ac:dyDescent="0.2">
      <c r="A1954" s="344">
        <v>45086</v>
      </c>
      <c r="B1954" s="333">
        <f t="shared" si="31"/>
        <v>411976.58</v>
      </c>
      <c r="C1954" s="333">
        <v>411776.58</v>
      </c>
      <c r="D1954" s="486">
        <v>200</v>
      </c>
    </row>
    <row r="1955" spans="1:4" x14ac:dyDescent="0.2">
      <c r="A1955" s="344">
        <v>45089</v>
      </c>
      <c r="B1955" s="333">
        <f t="shared" si="31"/>
        <v>412491.58</v>
      </c>
      <c r="C1955" s="333">
        <v>412291.58</v>
      </c>
      <c r="D1955" s="486">
        <v>200</v>
      </c>
    </row>
    <row r="1956" spans="1:4" x14ac:dyDescent="0.2">
      <c r="A1956" s="344">
        <v>45090</v>
      </c>
      <c r="B1956" s="333">
        <f t="shared" si="31"/>
        <v>412491.58</v>
      </c>
      <c r="C1956" s="333">
        <f t="shared" si="32"/>
        <v>412291.58</v>
      </c>
      <c r="D1956" s="486">
        <v>200</v>
      </c>
    </row>
    <row r="1957" spans="1:4" x14ac:dyDescent="0.2">
      <c r="A1957" s="344">
        <v>45091</v>
      </c>
      <c r="B1957" s="333">
        <f t="shared" si="31"/>
        <v>412491.58</v>
      </c>
      <c r="C1957" s="333">
        <f t="shared" si="32"/>
        <v>412291.58</v>
      </c>
      <c r="D1957" s="486">
        <v>200</v>
      </c>
    </row>
    <row r="1958" spans="1:4" x14ac:dyDescent="0.2">
      <c r="A1958" s="344">
        <v>45092</v>
      </c>
      <c r="B1958" s="333">
        <f t="shared" si="31"/>
        <v>421884.75</v>
      </c>
      <c r="C1958" s="333">
        <v>421684.75</v>
      </c>
      <c r="D1958" s="486">
        <v>200</v>
      </c>
    </row>
    <row r="1959" spans="1:4" x14ac:dyDescent="0.2">
      <c r="A1959" s="344">
        <v>45093</v>
      </c>
      <c r="B1959" s="333">
        <f t="shared" si="31"/>
        <v>421884.75</v>
      </c>
      <c r="C1959" s="333">
        <f t="shared" si="32"/>
        <v>421684.75</v>
      </c>
      <c r="D1959" s="486">
        <v>200</v>
      </c>
    </row>
    <row r="1960" spans="1:4" x14ac:dyDescent="0.2">
      <c r="A1960" s="344">
        <v>45096</v>
      </c>
      <c r="B1960" s="333">
        <f t="shared" si="31"/>
        <v>422030.75</v>
      </c>
      <c r="C1960" s="333">
        <v>421830.75</v>
      </c>
      <c r="D1960" s="486">
        <v>200</v>
      </c>
    </row>
    <row r="1961" spans="1:4" x14ac:dyDescent="0.2">
      <c r="A1961" s="344">
        <v>45097</v>
      </c>
      <c r="B1961" s="333">
        <f t="shared" si="31"/>
        <v>384440.18</v>
      </c>
      <c r="C1961" s="333">
        <v>384240.18</v>
      </c>
      <c r="D1961" s="486">
        <v>200</v>
      </c>
    </row>
    <row r="1962" spans="1:4" x14ac:dyDescent="0.2">
      <c r="A1962" s="344">
        <v>45098</v>
      </c>
      <c r="B1962" s="333">
        <f t="shared" si="31"/>
        <v>383701.41</v>
      </c>
      <c r="C1962" s="333">
        <v>383501.41</v>
      </c>
      <c r="D1962" s="486">
        <v>200</v>
      </c>
    </row>
    <row r="1963" spans="1:4" x14ac:dyDescent="0.2">
      <c r="A1963" s="344">
        <v>45099</v>
      </c>
      <c r="B1963" s="333">
        <f t="shared" si="31"/>
        <v>384859.49</v>
      </c>
      <c r="C1963" s="333">
        <v>384659.49</v>
      </c>
      <c r="D1963" s="486">
        <v>200</v>
      </c>
    </row>
    <row r="1964" spans="1:4" x14ac:dyDescent="0.2">
      <c r="A1964" s="344">
        <v>45100</v>
      </c>
      <c r="B1964" s="333">
        <f t="shared" si="31"/>
        <v>412308.62</v>
      </c>
      <c r="C1964" s="333">
        <v>412108.62</v>
      </c>
      <c r="D1964" s="486">
        <v>200</v>
      </c>
    </row>
    <row r="1965" spans="1:4" x14ac:dyDescent="0.2">
      <c r="A1965" s="344">
        <v>45103</v>
      </c>
      <c r="B1965" s="333">
        <f t="shared" si="31"/>
        <v>412308.62</v>
      </c>
      <c r="C1965" s="333">
        <f t="shared" si="32"/>
        <v>412108.62</v>
      </c>
      <c r="D1965" s="486">
        <v>200</v>
      </c>
    </row>
    <row r="1966" spans="1:4" x14ac:dyDescent="0.2">
      <c r="A1966" s="344">
        <v>45104</v>
      </c>
      <c r="B1966" s="333">
        <f t="shared" si="31"/>
        <v>412282.92</v>
      </c>
      <c r="C1966" s="333">
        <v>412082.92</v>
      </c>
      <c r="D1966" s="486">
        <v>200</v>
      </c>
    </row>
    <row r="1967" spans="1:4" x14ac:dyDescent="0.2">
      <c r="A1967" s="344">
        <v>45105</v>
      </c>
      <c r="B1967" s="333">
        <f t="shared" si="31"/>
        <v>402422.58</v>
      </c>
      <c r="C1967" s="333">
        <v>402222.58</v>
      </c>
      <c r="D1967" s="486">
        <v>200</v>
      </c>
    </row>
    <row r="1968" spans="1:4" x14ac:dyDescent="0.2">
      <c r="A1968" s="344">
        <v>45106</v>
      </c>
      <c r="B1968" s="333">
        <f t="shared" si="31"/>
        <v>402266.7</v>
      </c>
      <c r="C1968" s="333">
        <v>402066.7</v>
      </c>
      <c r="D1968" s="486">
        <v>200</v>
      </c>
    </row>
    <row r="1969" spans="1:4" x14ac:dyDescent="0.2">
      <c r="A1969" s="344">
        <v>45107</v>
      </c>
      <c r="B1969" s="333">
        <f t="shared" si="31"/>
        <v>407981.99</v>
      </c>
      <c r="C1969" s="333">
        <v>407781.99</v>
      </c>
      <c r="D1969" s="486">
        <v>200</v>
      </c>
    </row>
    <row r="1970" spans="1:4" x14ac:dyDescent="0.2">
      <c r="A1970" s="344">
        <v>45110</v>
      </c>
      <c r="B1970" s="333">
        <f t="shared" ref="B1970:B2016" si="33">C1970+D1970</f>
        <v>373219.37</v>
      </c>
      <c r="C1970" s="333">
        <v>373019.37</v>
      </c>
      <c r="D1970" s="486">
        <v>200</v>
      </c>
    </row>
    <row r="1971" spans="1:4" x14ac:dyDescent="0.2">
      <c r="A1971" s="344">
        <v>45111</v>
      </c>
      <c r="B1971" s="333">
        <f t="shared" si="33"/>
        <v>373219.37</v>
      </c>
      <c r="C1971" s="333">
        <f>C1970</f>
        <v>373019.37</v>
      </c>
      <c r="D1971" s="486">
        <v>200</v>
      </c>
    </row>
    <row r="1972" spans="1:4" x14ac:dyDescent="0.2">
      <c r="A1972" s="344">
        <v>45112</v>
      </c>
      <c r="B1972" s="333">
        <f t="shared" si="33"/>
        <v>373219.37</v>
      </c>
      <c r="C1972" s="333">
        <f t="shared" ref="C1972:C2023" si="34">C1971</f>
        <v>373019.37</v>
      </c>
      <c r="D1972" s="486">
        <v>200</v>
      </c>
    </row>
    <row r="1973" spans="1:4" x14ac:dyDescent="0.2">
      <c r="A1973" s="344">
        <v>45113</v>
      </c>
      <c r="B1973" s="333">
        <f t="shared" si="33"/>
        <v>376696.27</v>
      </c>
      <c r="C1973" s="333">
        <v>376496.27</v>
      </c>
      <c r="D1973" s="486">
        <v>200</v>
      </c>
    </row>
    <row r="1974" spans="1:4" x14ac:dyDescent="0.2">
      <c r="A1974" s="344">
        <v>45114</v>
      </c>
      <c r="B1974" s="333">
        <f t="shared" si="33"/>
        <v>376906.67</v>
      </c>
      <c r="C1974" s="333">
        <v>376706.67</v>
      </c>
      <c r="D1974" s="486">
        <v>200</v>
      </c>
    </row>
    <row r="1975" spans="1:4" x14ac:dyDescent="0.2">
      <c r="A1975" s="344">
        <v>45117</v>
      </c>
      <c r="B1975" s="333">
        <f t="shared" si="33"/>
        <v>377111.67</v>
      </c>
      <c r="C1975" s="333">
        <v>376911.67</v>
      </c>
      <c r="D1975" s="486">
        <v>200</v>
      </c>
    </row>
    <row r="1976" spans="1:4" x14ac:dyDescent="0.2">
      <c r="A1976" s="344">
        <v>45118</v>
      </c>
      <c r="B1976" s="333">
        <f t="shared" si="33"/>
        <v>378617.91</v>
      </c>
      <c r="C1976" s="333">
        <v>378417.91</v>
      </c>
      <c r="D1976" s="486">
        <v>200</v>
      </c>
    </row>
    <row r="1977" spans="1:4" x14ac:dyDescent="0.2">
      <c r="A1977" s="344">
        <v>45119</v>
      </c>
      <c r="B1977" s="333">
        <f t="shared" si="33"/>
        <v>378999.91</v>
      </c>
      <c r="C1977" s="333">
        <v>378799.91</v>
      </c>
      <c r="D1977" s="486">
        <v>200</v>
      </c>
    </row>
    <row r="1978" spans="1:4" x14ac:dyDescent="0.2">
      <c r="A1978" s="344">
        <v>45120</v>
      </c>
      <c r="B1978" s="333">
        <f t="shared" si="33"/>
        <v>399013.52</v>
      </c>
      <c r="C1978" s="333">
        <v>398813.52</v>
      </c>
      <c r="D1978" s="486">
        <v>200</v>
      </c>
    </row>
    <row r="1979" spans="1:4" x14ac:dyDescent="0.2">
      <c r="A1979" s="344">
        <v>45121</v>
      </c>
      <c r="B1979" s="333">
        <f t="shared" si="33"/>
        <v>399052</v>
      </c>
      <c r="C1979" s="333">
        <v>398852</v>
      </c>
      <c r="D1979" s="486">
        <v>200</v>
      </c>
    </row>
    <row r="1980" spans="1:4" x14ac:dyDescent="0.2">
      <c r="A1980" s="344">
        <v>45124</v>
      </c>
      <c r="B1980" s="333">
        <f t="shared" si="33"/>
        <v>398802</v>
      </c>
      <c r="C1980" s="333">
        <v>398602</v>
      </c>
      <c r="D1980" s="486">
        <v>200</v>
      </c>
    </row>
    <row r="1981" spans="1:4" x14ac:dyDescent="0.2">
      <c r="A1981" s="344">
        <v>45125</v>
      </c>
      <c r="B1981" s="333">
        <f t="shared" si="33"/>
        <v>415884.95</v>
      </c>
      <c r="C1981" s="333">
        <v>415684.95</v>
      </c>
      <c r="D1981" s="486">
        <v>200</v>
      </c>
    </row>
    <row r="1982" spans="1:4" x14ac:dyDescent="0.2">
      <c r="A1982" s="344">
        <v>45126</v>
      </c>
      <c r="B1982" s="333">
        <f t="shared" si="33"/>
        <v>416084.95</v>
      </c>
      <c r="C1982" s="333">
        <v>415884.95</v>
      </c>
      <c r="D1982" s="486">
        <v>200</v>
      </c>
    </row>
    <row r="1983" spans="1:4" x14ac:dyDescent="0.2">
      <c r="A1983" s="344">
        <v>45127</v>
      </c>
      <c r="B1983" s="333">
        <f t="shared" si="33"/>
        <v>409180.98</v>
      </c>
      <c r="C1983" s="333">
        <v>408980.98</v>
      </c>
      <c r="D1983" s="486">
        <v>200</v>
      </c>
    </row>
    <row r="1984" spans="1:4" x14ac:dyDescent="0.2">
      <c r="A1984" s="344">
        <v>45128</v>
      </c>
      <c r="B1984" s="333">
        <f t="shared" si="33"/>
        <v>411006.01</v>
      </c>
      <c r="C1984" s="333">
        <v>410806.01</v>
      </c>
      <c r="D1984" s="486">
        <v>200</v>
      </c>
    </row>
    <row r="1985" spans="1:4" x14ac:dyDescent="0.2">
      <c r="A1985" s="344">
        <v>45131</v>
      </c>
      <c r="B1985" s="333">
        <f t="shared" si="33"/>
        <v>411445.54</v>
      </c>
      <c r="C1985" s="333">
        <v>411245.54</v>
      </c>
      <c r="D1985" s="486">
        <v>200</v>
      </c>
    </row>
    <row r="1986" spans="1:4" x14ac:dyDescent="0.2">
      <c r="A1986" s="344">
        <v>45132</v>
      </c>
      <c r="B1986" s="333">
        <f t="shared" si="33"/>
        <v>412425.15</v>
      </c>
      <c r="C1986" s="333">
        <v>412225.15</v>
      </c>
      <c r="D1986" s="486">
        <v>200</v>
      </c>
    </row>
    <row r="1987" spans="1:4" x14ac:dyDescent="0.2">
      <c r="A1987" s="344">
        <v>45133</v>
      </c>
      <c r="B1987" s="333">
        <f t="shared" si="33"/>
        <v>412425.15</v>
      </c>
      <c r="C1987" s="333">
        <f t="shared" si="34"/>
        <v>412225.15</v>
      </c>
      <c r="D1987" s="486">
        <v>200</v>
      </c>
    </row>
    <row r="1988" spans="1:4" x14ac:dyDescent="0.2">
      <c r="A1988" s="344">
        <v>45134</v>
      </c>
      <c r="B1988" s="333">
        <f t="shared" si="33"/>
        <v>387088.04</v>
      </c>
      <c r="C1988" s="333">
        <v>386888.04</v>
      </c>
      <c r="D1988" s="486">
        <v>200</v>
      </c>
    </row>
    <row r="1989" spans="1:4" x14ac:dyDescent="0.2">
      <c r="A1989" s="344">
        <v>45135</v>
      </c>
      <c r="B1989" s="333">
        <f t="shared" si="33"/>
        <v>405857.22</v>
      </c>
      <c r="C1989" s="333">
        <v>405657.22</v>
      </c>
      <c r="D1989" s="486">
        <v>200</v>
      </c>
    </row>
    <row r="1990" spans="1:4" x14ac:dyDescent="0.2">
      <c r="A1990" s="344">
        <v>45138</v>
      </c>
      <c r="B1990" s="333">
        <f t="shared" si="33"/>
        <v>404076.54</v>
      </c>
      <c r="C1990" s="333">
        <v>403876.54</v>
      </c>
      <c r="D1990" s="486">
        <v>200</v>
      </c>
    </row>
    <row r="1991" spans="1:4" x14ac:dyDescent="0.2">
      <c r="A1991" s="344">
        <v>45139</v>
      </c>
      <c r="B1991" s="333">
        <f t="shared" si="33"/>
        <v>390920.58</v>
      </c>
      <c r="C1991" s="333">
        <v>390720.58</v>
      </c>
      <c r="D1991" s="486">
        <v>200</v>
      </c>
    </row>
    <row r="1992" spans="1:4" x14ac:dyDescent="0.2">
      <c r="A1992" s="344">
        <v>45140</v>
      </c>
      <c r="B1992" s="333">
        <f t="shared" si="33"/>
        <v>390920.58</v>
      </c>
      <c r="C1992" s="333">
        <f t="shared" si="34"/>
        <v>390720.58</v>
      </c>
      <c r="D1992" s="486">
        <v>200</v>
      </c>
    </row>
    <row r="1993" spans="1:4" x14ac:dyDescent="0.2">
      <c r="A1993" s="344">
        <v>45141</v>
      </c>
      <c r="B1993" s="333">
        <f t="shared" si="33"/>
        <v>386738.53</v>
      </c>
      <c r="C1993" s="333">
        <v>386538.53</v>
      </c>
      <c r="D1993" s="486">
        <v>200</v>
      </c>
    </row>
    <row r="1994" spans="1:4" x14ac:dyDescent="0.2">
      <c r="A1994" s="344">
        <v>45142</v>
      </c>
      <c r="B1994" s="333">
        <f t="shared" si="33"/>
        <v>384493.66</v>
      </c>
      <c r="C1994" s="333">
        <v>384293.66</v>
      </c>
      <c r="D1994" s="486">
        <v>200</v>
      </c>
    </row>
    <row r="1995" spans="1:4" x14ac:dyDescent="0.2">
      <c r="A1995" s="344">
        <v>45145</v>
      </c>
      <c r="B1995" s="333">
        <f t="shared" si="33"/>
        <v>385493.66</v>
      </c>
      <c r="C1995" s="333">
        <v>385293.66</v>
      </c>
      <c r="D1995" s="486">
        <v>200</v>
      </c>
    </row>
    <row r="1996" spans="1:4" x14ac:dyDescent="0.2">
      <c r="A1996" s="344">
        <v>45146</v>
      </c>
      <c r="B1996" s="333">
        <f t="shared" si="33"/>
        <v>385493.66</v>
      </c>
      <c r="C1996" s="333">
        <f t="shared" si="34"/>
        <v>385293.66</v>
      </c>
      <c r="D1996" s="486">
        <v>200</v>
      </c>
    </row>
    <row r="1997" spans="1:4" x14ac:dyDescent="0.2">
      <c r="A1997" s="344">
        <v>45147</v>
      </c>
      <c r="B1997" s="333">
        <f t="shared" si="33"/>
        <v>385493.66</v>
      </c>
      <c r="C1997" s="333">
        <f t="shared" si="34"/>
        <v>385293.66</v>
      </c>
      <c r="D1997" s="486">
        <v>200</v>
      </c>
    </row>
    <row r="1998" spans="1:4" x14ac:dyDescent="0.2">
      <c r="A1998" s="344">
        <v>45148</v>
      </c>
      <c r="B1998" s="333">
        <f t="shared" si="33"/>
        <v>385493.66</v>
      </c>
      <c r="C1998" s="333">
        <f t="shared" si="34"/>
        <v>385293.66</v>
      </c>
      <c r="D1998" s="486">
        <v>200</v>
      </c>
    </row>
    <row r="1999" spans="1:4" x14ac:dyDescent="0.2">
      <c r="A1999" s="344">
        <v>45149</v>
      </c>
      <c r="B1999" s="333">
        <f t="shared" si="33"/>
        <v>386021.66</v>
      </c>
      <c r="C1999" s="333">
        <v>385821.66</v>
      </c>
      <c r="D1999" s="486">
        <v>200</v>
      </c>
    </row>
    <row r="2000" spans="1:4" x14ac:dyDescent="0.2">
      <c r="A2000" s="344">
        <v>45152</v>
      </c>
      <c r="B2000" s="333">
        <f t="shared" si="33"/>
        <v>406742.83</v>
      </c>
      <c r="C2000" s="333">
        <v>406542.83</v>
      </c>
      <c r="D2000" s="486">
        <v>200</v>
      </c>
    </row>
    <row r="2001" spans="1:4" x14ac:dyDescent="0.2">
      <c r="A2001" s="344">
        <v>45153</v>
      </c>
      <c r="B2001" s="333">
        <f t="shared" si="33"/>
        <v>370565.1</v>
      </c>
      <c r="C2001" s="333">
        <v>370365.1</v>
      </c>
      <c r="D2001" s="486">
        <v>200</v>
      </c>
    </row>
    <row r="2002" spans="1:4" x14ac:dyDescent="0.2">
      <c r="A2002" s="344">
        <v>45154</v>
      </c>
      <c r="B2002" s="333">
        <f t="shared" si="33"/>
        <v>370565.1</v>
      </c>
      <c r="C2002" s="333">
        <f t="shared" si="34"/>
        <v>370365.1</v>
      </c>
      <c r="D2002" s="486">
        <v>200</v>
      </c>
    </row>
    <row r="2003" spans="1:4" x14ac:dyDescent="0.2">
      <c r="A2003" s="344">
        <v>45155</v>
      </c>
      <c r="B2003" s="333">
        <f t="shared" si="33"/>
        <v>396789.54</v>
      </c>
      <c r="C2003" s="333">
        <v>396589.54</v>
      </c>
      <c r="D2003" s="486">
        <v>200</v>
      </c>
    </row>
    <row r="2004" spans="1:4" x14ac:dyDescent="0.2">
      <c r="A2004" s="344">
        <v>45156</v>
      </c>
      <c r="B2004" s="333">
        <f t="shared" si="33"/>
        <v>396404.94</v>
      </c>
      <c r="C2004" s="333">
        <v>396204.94</v>
      </c>
      <c r="D2004" s="486">
        <v>200</v>
      </c>
    </row>
    <row r="2005" spans="1:4" x14ac:dyDescent="0.2">
      <c r="A2005" s="344">
        <v>45159</v>
      </c>
      <c r="B2005" s="333">
        <f t="shared" si="33"/>
        <v>394335.05</v>
      </c>
      <c r="C2005" s="333">
        <v>394135.05</v>
      </c>
      <c r="D2005" s="486">
        <v>200</v>
      </c>
    </row>
    <row r="2006" spans="1:4" x14ac:dyDescent="0.2">
      <c r="A2006" s="344">
        <v>45160</v>
      </c>
      <c r="B2006" s="333">
        <f t="shared" si="33"/>
        <v>394335.05</v>
      </c>
      <c r="C2006" s="333">
        <f t="shared" si="34"/>
        <v>394135.05</v>
      </c>
      <c r="D2006" s="486">
        <v>200</v>
      </c>
    </row>
    <row r="2007" spans="1:4" x14ac:dyDescent="0.2">
      <c r="A2007" s="344">
        <v>45161</v>
      </c>
      <c r="B2007" s="333">
        <f t="shared" si="33"/>
        <v>394359.06</v>
      </c>
      <c r="C2007" s="333">
        <v>394159.06</v>
      </c>
      <c r="D2007" s="486">
        <v>200</v>
      </c>
    </row>
    <row r="2008" spans="1:4" x14ac:dyDescent="0.2">
      <c r="A2008" s="344">
        <v>45162</v>
      </c>
      <c r="B2008" s="333">
        <f t="shared" si="33"/>
        <v>388296.14</v>
      </c>
      <c r="C2008" s="333">
        <v>388096.14</v>
      </c>
      <c r="D2008" s="486">
        <v>200</v>
      </c>
    </row>
    <row r="2009" spans="1:4" x14ac:dyDescent="0.2">
      <c r="A2009" s="344">
        <v>45163</v>
      </c>
      <c r="B2009" s="333">
        <f t="shared" si="33"/>
        <v>388621.14</v>
      </c>
      <c r="C2009" s="333">
        <v>388421.14</v>
      </c>
      <c r="D2009" s="486">
        <v>200</v>
      </c>
    </row>
    <row r="2010" spans="1:4" x14ac:dyDescent="0.2">
      <c r="A2010" s="344">
        <v>45164</v>
      </c>
      <c r="B2010" s="333">
        <f t="shared" si="33"/>
        <v>388621.14</v>
      </c>
      <c r="C2010" s="333">
        <f t="shared" si="34"/>
        <v>388421.14</v>
      </c>
      <c r="D2010" s="486">
        <v>200</v>
      </c>
    </row>
    <row r="2011" spans="1:4" x14ac:dyDescent="0.2">
      <c r="A2011" s="344">
        <v>45165</v>
      </c>
      <c r="B2011" s="333">
        <f t="shared" si="33"/>
        <v>388621.14</v>
      </c>
      <c r="C2011" s="333">
        <f t="shared" si="34"/>
        <v>388421.14</v>
      </c>
      <c r="D2011" s="486">
        <v>200</v>
      </c>
    </row>
    <row r="2012" spans="1:4" x14ac:dyDescent="0.2">
      <c r="A2012" s="344">
        <v>45166</v>
      </c>
      <c r="B2012" s="333">
        <f t="shared" si="33"/>
        <v>350982.96</v>
      </c>
      <c r="C2012" s="333">
        <v>350782.96</v>
      </c>
      <c r="D2012" s="486">
        <v>200</v>
      </c>
    </row>
    <row r="2013" spans="1:4" x14ac:dyDescent="0.2">
      <c r="A2013" s="344">
        <v>45167</v>
      </c>
      <c r="B2013" s="333">
        <f t="shared" si="33"/>
        <v>451232.96</v>
      </c>
      <c r="C2013" s="333">
        <v>451032.96</v>
      </c>
      <c r="D2013" s="486">
        <v>200</v>
      </c>
    </row>
    <row r="2014" spans="1:4" x14ac:dyDescent="0.2">
      <c r="A2014" s="344">
        <v>45168</v>
      </c>
      <c r="B2014" s="333">
        <f t="shared" si="33"/>
        <v>499724.02</v>
      </c>
      <c r="C2014" s="333">
        <v>499524.02</v>
      </c>
      <c r="D2014" s="486">
        <v>200</v>
      </c>
    </row>
    <row r="2015" spans="1:4" x14ac:dyDescent="0.2">
      <c r="A2015" s="344">
        <v>45169</v>
      </c>
      <c r="B2015" s="333">
        <f t="shared" si="33"/>
        <v>519129.97</v>
      </c>
      <c r="C2015" s="333">
        <v>518929.97</v>
      </c>
      <c r="D2015" s="486">
        <v>200</v>
      </c>
    </row>
    <row r="2016" spans="1:4" x14ac:dyDescent="0.2">
      <c r="A2016" s="344">
        <v>45170</v>
      </c>
      <c r="B2016" s="333">
        <f t="shared" si="33"/>
        <v>494825.52</v>
      </c>
      <c r="C2016" s="333">
        <v>494625.52</v>
      </c>
      <c r="D2016" s="486">
        <v>200</v>
      </c>
    </row>
    <row r="2017" spans="1:4" x14ac:dyDescent="0.2">
      <c r="A2017" s="344">
        <v>45171</v>
      </c>
      <c r="B2017" s="333">
        <f t="shared" ref="B2017:B2023" si="35">C2017+D2017</f>
        <v>494825.52</v>
      </c>
      <c r="C2017" s="333">
        <f t="shared" si="34"/>
        <v>494625.52</v>
      </c>
      <c r="D2017" s="486">
        <v>200</v>
      </c>
    </row>
    <row r="2018" spans="1:4" x14ac:dyDescent="0.2">
      <c r="A2018" s="344">
        <v>45172</v>
      </c>
      <c r="B2018" s="333">
        <f t="shared" si="35"/>
        <v>494825.52</v>
      </c>
      <c r="C2018" s="333">
        <f t="shared" si="34"/>
        <v>494625.52</v>
      </c>
      <c r="D2018" s="486">
        <v>200</v>
      </c>
    </row>
    <row r="2019" spans="1:4" x14ac:dyDescent="0.2">
      <c r="A2019" s="344">
        <v>45173</v>
      </c>
      <c r="B2019" s="333">
        <f t="shared" si="35"/>
        <v>494825.52</v>
      </c>
      <c r="C2019" s="333">
        <f t="shared" si="34"/>
        <v>494625.52</v>
      </c>
      <c r="D2019" s="486">
        <v>200</v>
      </c>
    </row>
    <row r="2020" spans="1:4" x14ac:dyDescent="0.2">
      <c r="A2020" s="344">
        <v>45174</v>
      </c>
      <c r="B2020" s="333">
        <f t="shared" si="35"/>
        <v>494875.52</v>
      </c>
      <c r="C2020" s="333">
        <v>494675.52</v>
      </c>
      <c r="D2020" s="486">
        <v>200</v>
      </c>
    </row>
    <row r="2021" spans="1:4" x14ac:dyDescent="0.2">
      <c r="A2021" s="344">
        <v>45175</v>
      </c>
      <c r="B2021" s="333">
        <f t="shared" si="35"/>
        <v>492868.56</v>
      </c>
      <c r="C2021" s="333">
        <v>492668.56</v>
      </c>
      <c r="D2021" s="486">
        <v>200</v>
      </c>
    </row>
    <row r="2022" spans="1:4" x14ac:dyDescent="0.2">
      <c r="A2022" s="344">
        <v>45176</v>
      </c>
      <c r="B2022" s="333">
        <f t="shared" si="35"/>
        <v>492868.56</v>
      </c>
      <c r="C2022" s="333">
        <f t="shared" si="34"/>
        <v>492668.56</v>
      </c>
      <c r="D2022" s="486">
        <v>200</v>
      </c>
    </row>
    <row r="2023" spans="1:4" x14ac:dyDescent="0.2">
      <c r="A2023" s="344">
        <v>45177</v>
      </c>
      <c r="B2023" s="333">
        <f t="shared" si="35"/>
        <v>492868.56</v>
      </c>
      <c r="C2023" s="333">
        <f t="shared" si="34"/>
        <v>492668.56</v>
      </c>
      <c r="D2023" s="486">
        <v>200</v>
      </c>
    </row>
    <row r="2024" spans="1:4" x14ac:dyDescent="0.2">
      <c r="A2024" s="344">
        <v>45180</v>
      </c>
      <c r="B2024" s="333">
        <f t="shared" ref="B2024:B2060" si="36">C2024+D2024</f>
        <v>494218.56</v>
      </c>
      <c r="C2024" s="333">
        <v>494018.56</v>
      </c>
      <c r="D2024" s="486">
        <v>200</v>
      </c>
    </row>
    <row r="2025" spans="1:4" x14ac:dyDescent="0.2">
      <c r="A2025" s="344">
        <v>45181</v>
      </c>
      <c r="B2025" s="333">
        <f t="shared" si="36"/>
        <v>452326.96</v>
      </c>
      <c r="C2025" s="333">
        <v>452126.96</v>
      </c>
      <c r="D2025" s="486">
        <v>200</v>
      </c>
    </row>
    <row r="2026" spans="1:4" x14ac:dyDescent="0.2">
      <c r="A2026" s="344">
        <v>45182</v>
      </c>
      <c r="B2026" s="333">
        <f t="shared" si="36"/>
        <v>475248.53</v>
      </c>
      <c r="C2026" s="333">
        <v>475048.53</v>
      </c>
      <c r="D2026" s="486">
        <v>200</v>
      </c>
    </row>
    <row r="2027" spans="1:4" x14ac:dyDescent="0.2">
      <c r="A2027" s="344">
        <v>45183</v>
      </c>
      <c r="B2027" s="333">
        <f t="shared" si="36"/>
        <v>485579.7</v>
      </c>
      <c r="C2027" s="333">
        <v>485379.7</v>
      </c>
      <c r="D2027" s="486">
        <v>200</v>
      </c>
    </row>
    <row r="2028" spans="1:4" x14ac:dyDescent="0.2">
      <c r="A2028" s="344">
        <v>45184</v>
      </c>
      <c r="B2028" s="333">
        <f t="shared" si="36"/>
        <v>483237.86</v>
      </c>
      <c r="C2028" s="333">
        <v>483037.86</v>
      </c>
      <c r="D2028" s="486">
        <v>200</v>
      </c>
    </row>
    <row r="2029" spans="1:4" x14ac:dyDescent="0.2">
      <c r="A2029" s="344">
        <v>45187</v>
      </c>
      <c r="B2029" s="333">
        <f t="shared" si="36"/>
        <v>482174.8</v>
      </c>
      <c r="C2029" s="333">
        <v>481974.8</v>
      </c>
      <c r="D2029" s="486">
        <v>200</v>
      </c>
    </row>
    <row r="2030" spans="1:4" x14ac:dyDescent="0.2">
      <c r="A2030" s="344">
        <v>45188</v>
      </c>
      <c r="B2030" s="333">
        <f t="shared" si="36"/>
        <v>482199.8</v>
      </c>
      <c r="C2030" s="333">
        <v>481999.8</v>
      </c>
      <c r="D2030" s="486">
        <v>200</v>
      </c>
    </row>
    <row r="2031" spans="1:4" x14ac:dyDescent="0.2">
      <c r="A2031" s="344">
        <v>45189</v>
      </c>
      <c r="B2031" s="333">
        <f t="shared" si="36"/>
        <v>479406.91</v>
      </c>
      <c r="C2031" s="333">
        <v>479206.91</v>
      </c>
      <c r="D2031" s="486">
        <v>200</v>
      </c>
    </row>
    <row r="2032" spans="1:4" x14ac:dyDescent="0.2">
      <c r="A2032" s="344">
        <v>45190</v>
      </c>
      <c r="B2032" s="333">
        <f t="shared" si="36"/>
        <v>470500.67</v>
      </c>
      <c r="C2032" s="333">
        <v>470300.67</v>
      </c>
      <c r="D2032" s="486">
        <v>200</v>
      </c>
    </row>
    <row r="2033" spans="1:4" x14ac:dyDescent="0.2">
      <c r="A2033" s="344">
        <v>45191</v>
      </c>
      <c r="B2033" s="333">
        <f t="shared" si="36"/>
        <v>472716.17</v>
      </c>
      <c r="C2033" s="333">
        <v>472516.17</v>
      </c>
      <c r="D2033" s="486">
        <v>200</v>
      </c>
    </row>
    <row r="2034" spans="1:4" x14ac:dyDescent="0.2">
      <c r="A2034" s="344">
        <v>45194</v>
      </c>
      <c r="B2034" s="333">
        <f t="shared" si="36"/>
        <v>433269.34</v>
      </c>
      <c r="C2034" s="333">
        <v>433069.34</v>
      </c>
      <c r="D2034" s="486">
        <v>200</v>
      </c>
    </row>
    <row r="2035" spans="1:4" x14ac:dyDescent="0.2">
      <c r="A2035" s="344">
        <v>45195</v>
      </c>
      <c r="B2035" s="333">
        <f t="shared" si="36"/>
        <v>433243.64</v>
      </c>
      <c r="C2035" s="333">
        <v>433043.64</v>
      </c>
      <c r="D2035" s="486">
        <v>200</v>
      </c>
    </row>
    <row r="2036" spans="1:4" x14ac:dyDescent="0.2">
      <c r="A2036" s="344">
        <v>45196</v>
      </c>
      <c r="B2036" s="333">
        <f t="shared" si="36"/>
        <v>469337.63</v>
      </c>
      <c r="C2036" s="333">
        <v>469137.63</v>
      </c>
      <c r="D2036" s="486">
        <v>200</v>
      </c>
    </row>
    <row r="2037" spans="1:4" x14ac:dyDescent="0.2">
      <c r="A2037" s="344">
        <v>45197</v>
      </c>
      <c r="B2037" s="333">
        <f t="shared" si="36"/>
        <v>469337.63</v>
      </c>
      <c r="C2037" s="333">
        <f t="shared" ref="C2037:C2099" si="37">C2036</f>
        <v>469137.63</v>
      </c>
      <c r="D2037" s="486">
        <v>200</v>
      </c>
    </row>
    <row r="2038" spans="1:4" x14ac:dyDescent="0.2">
      <c r="A2038" s="344">
        <v>45198</v>
      </c>
      <c r="B2038" s="333">
        <f t="shared" si="36"/>
        <v>468953.03</v>
      </c>
      <c r="C2038" s="333">
        <v>468753.03</v>
      </c>
      <c r="D2038" s="486">
        <v>200</v>
      </c>
    </row>
    <row r="2039" spans="1:4" x14ac:dyDescent="0.2">
      <c r="A2039" s="344">
        <v>45201</v>
      </c>
      <c r="B2039" s="333">
        <f t="shared" si="36"/>
        <v>459905.29</v>
      </c>
      <c r="C2039" s="333">
        <v>459705.29</v>
      </c>
      <c r="D2039" s="486">
        <v>200</v>
      </c>
    </row>
    <row r="2040" spans="1:4" x14ac:dyDescent="0.2">
      <c r="A2040" s="344">
        <v>45202</v>
      </c>
      <c r="B2040" s="333">
        <f t="shared" si="36"/>
        <v>459905.29</v>
      </c>
      <c r="C2040" s="333">
        <f t="shared" si="37"/>
        <v>459705.29</v>
      </c>
      <c r="D2040" s="486">
        <v>200</v>
      </c>
    </row>
    <row r="2041" spans="1:4" x14ac:dyDescent="0.2">
      <c r="A2041" s="344">
        <v>45203</v>
      </c>
      <c r="B2041" s="333">
        <f t="shared" si="36"/>
        <v>459905.29</v>
      </c>
      <c r="C2041" s="333">
        <f t="shared" si="37"/>
        <v>459705.29</v>
      </c>
      <c r="D2041" s="486">
        <v>200</v>
      </c>
    </row>
    <row r="2042" spans="1:4" x14ac:dyDescent="0.2">
      <c r="A2042" s="344">
        <v>45204</v>
      </c>
      <c r="B2042" s="333">
        <f t="shared" si="36"/>
        <v>459905.29</v>
      </c>
      <c r="C2042" s="333">
        <f t="shared" si="37"/>
        <v>459705.29</v>
      </c>
      <c r="D2042" s="486">
        <v>200</v>
      </c>
    </row>
    <row r="2043" spans="1:4" x14ac:dyDescent="0.2">
      <c r="A2043" s="344">
        <v>45205</v>
      </c>
      <c r="B2043" s="333">
        <f t="shared" si="36"/>
        <v>459905.29</v>
      </c>
      <c r="C2043" s="333">
        <f t="shared" si="37"/>
        <v>459705.29</v>
      </c>
      <c r="D2043" s="486">
        <v>200</v>
      </c>
    </row>
    <row r="2044" spans="1:4" x14ac:dyDescent="0.2">
      <c r="A2044" s="344">
        <v>45208</v>
      </c>
      <c r="B2044" s="333">
        <f t="shared" si="36"/>
        <v>459905.29</v>
      </c>
      <c r="C2044" s="333">
        <f t="shared" si="37"/>
        <v>459705.29</v>
      </c>
      <c r="D2044" s="486">
        <v>200</v>
      </c>
    </row>
    <row r="2045" spans="1:4" x14ac:dyDescent="0.2">
      <c r="A2045" s="344">
        <v>45209</v>
      </c>
      <c r="B2045" s="333">
        <f t="shared" si="36"/>
        <v>423446.93</v>
      </c>
      <c r="C2045" s="333">
        <v>423246.93</v>
      </c>
      <c r="D2045" s="486">
        <v>200</v>
      </c>
    </row>
    <row r="2046" spans="1:4" x14ac:dyDescent="0.2">
      <c r="A2046" s="344">
        <v>45210</v>
      </c>
      <c r="B2046" s="333">
        <f t="shared" si="36"/>
        <v>423446.93</v>
      </c>
      <c r="C2046" s="333">
        <f t="shared" si="37"/>
        <v>423246.93</v>
      </c>
      <c r="D2046" s="486">
        <v>200</v>
      </c>
    </row>
    <row r="2047" spans="1:4" x14ac:dyDescent="0.2">
      <c r="A2047" s="344">
        <v>45211</v>
      </c>
      <c r="B2047" s="333">
        <f t="shared" si="36"/>
        <v>407711.69</v>
      </c>
      <c r="C2047" s="333">
        <v>407511.69</v>
      </c>
      <c r="D2047" s="486">
        <v>200</v>
      </c>
    </row>
    <row r="2048" spans="1:4" x14ac:dyDescent="0.2">
      <c r="A2048" s="344">
        <v>45212</v>
      </c>
      <c r="B2048" s="333">
        <f t="shared" si="36"/>
        <v>407733.05</v>
      </c>
      <c r="C2048" s="333">
        <v>407533.05</v>
      </c>
      <c r="D2048" s="486">
        <v>200</v>
      </c>
    </row>
    <row r="2049" spans="1:4" x14ac:dyDescent="0.2">
      <c r="A2049" s="344">
        <v>45215</v>
      </c>
      <c r="B2049" s="333">
        <f t="shared" si="36"/>
        <v>409787.27</v>
      </c>
      <c r="C2049" s="333">
        <v>409587.27</v>
      </c>
      <c r="D2049" s="486">
        <v>200</v>
      </c>
    </row>
    <row r="2050" spans="1:4" x14ac:dyDescent="0.2">
      <c r="A2050" s="344">
        <v>45216</v>
      </c>
      <c r="B2050" s="333">
        <f t="shared" si="36"/>
        <v>409787.27</v>
      </c>
      <c r="C2050" s="333">
        <f t="shared" si="37"/>
        <v>409587.27</v>
      </c>
      <c r="D2050" s="486">
        <v>200</v>
      </c>
    </row>
    <row r="2051" spans="1:4" x14ac:dyDescent="0.2">
      <c r="A2051" s="344">
        <v>45217</v>
      </c>
      <c r="B2051" s="333">
        <f t="shared" si="36"/>
        <v>410017.27</v>
      </c>
      <c r="C2051" s="333">
        <v>409817.27</v>
      </c>
      <c r="D2051" s="486">
        <v>200</v>
      </c>
    </row>
    <row r="2052" spans="1:4" x14ac:dyDescent="0.2">
      <c r="A2052" s="344">
        <v>45218</v>
      </c>
      <c r="B2052" s="333">
        <f t="shared" si="36"/>
        <v>418625.7</v>
      </c>
      <c r="C2052" s="333">
        <v>418425.7</v>
      </c>
      <c r="D2052" s="486">
        <v>200</v>
      </c>
    </row>
    <row r="2053" spans="1:4" x14ac:dyDescent="0.2">
      <c r="A2053" s="344">
        <v>45219</v>
      </c>
      <c r="B2053" s="333">
        <f t="shared" si="36"/>
        <v>418550.7</v>
      </c>
      <c r="C2053" s="333">
        <v>418350.7</v>
      </c>
      <c r="D2053" s="486">
        <v>200</v>
      </c>
    </row>
    <row r="2054" spans="1:4" x14ac:dyDescent="0.2">
      <c r="A2054" s="344">
        <v>45222</v>
      </c>
      <c r="B2054" s="333">
        <f t="shared" si="36"/>
        <v>381523.11</v>
      </c>
      <c r="C2054" s="333">
        <v>381323.11</v>
      </c>
      <c r="D2054" s="486">
        <v>200</v>
      </c>
    </row>
    <row r="2055" spans="1:4" x14ac:dyDescent="0.2">
      <c r="A2055" s="344">
        <v>45223</v>
      </c>
      <c r="B2055" s="333">
        <f t="shared" si="36"/>
        <v>381523.11</v>
      </c>
      <c r="C2055" s="333">
        <f t="shared" si="37"/>
        <v>381323.11</v>
      </c>
      <c r="D2055" s="486">
        <v>200</v>
      </c>
    </row>
    <row r="2056" spans="1:4" x14ac:dyDescent="0.2">
      <c r="A2056" s="344">
        <v>45224</v>
      </c>
      <c r="B2056" s="333">
        <f t="shared" si="36"/>
        <v>381523.11</v>
      </c>
      <c r="C2056" s="333">
        <f t="shared" si="37"/>
        <v>381323.11</v>
      </c>
      <c r="D2056" s="486">
        <v>200</v>
      </c>
    </row>
    <row r="2057" spans="1:4" x14ac:dyDescent="0.2">
      <c r="A2057" s="344">
        <v>45225</v>
      </c>
      <c r="B2057" s="333">
        <f t="shared" si="36"/>
        <v>381909.52</v>
      </c>
      <c r="C2057" s="333">
        <v>381709.52</v>
      </c>
      <c r="D2057" s="486">
        <v>200</v>
      </c>
    </row>
    <row r="2058" spans="1:4" x14ac:dyDescent="0.2">
      <c r="A2058" s="344">
        <v>45226</v>
      </c>
      <c r="B2058" s="333">
        <f t="shared" si="36"/>
        <v>381524.92</v>
      </c>
      <c r="C2058" s="333">
        <v>381324.92</v>
      </c>
      <c r="D2058" s="486">
        <v>200</v>
      </c>
    </row>
    <row r="2059" spans="1:4" x14ac:dyDescent="0.2">
      <c r="A2059" s="344">
        <v>45229</v>
      </c>
      <c r="B2059" s="333">
        <f t="shared" si="36"/>
        <v>381524.92</v>
      </c>
      <c r="C2059" s="333">
        <f t="shared" si="37"/>
        <v>381324.92</v>
      </c>
      <c r="D2059" s="486">
        <v>200</v>
      </c>
    </row>
    <row r="2060" spans="1:4" x14ac:dyDescent="0.2">
      <c r="A2060" s="344">
        <v>45230</v>
      </c>
      <c r="B2060" s="333">
        <f t="shared" si="36"/>
        <v>403601.43</v>
      </c>
      <c r="C2060" s="333">
        <v>403401.43</v>
      </c>
      <c r="D2060" s="486">
        <v>200</v>
      </c>
    </row>
    <row r="2061" spans="1:4" x14ac:dyDescent="0.2">
      <c r="A2061" s="344">
        <v>45231</v>
      </c>
      <c r="B2061" s="333">
        <f t="shared" ref="B2061:B2103" si="38">C2061+D2061</f>
        <v>403601.43</v>
      </c>
      <c r="C2061" s="333">
        <f t="shared" si="37"/>
        <v>403401.43</v>
      </c>
      <c r="D2061" s="486">
        <v>200</v>
      </c>
    </row>
    <row r="2062" spans="1:4" x14ac:dyDescent="0.2">
      <c r="A2062" s="344">
        <v>45232</v>
      </c>
      <c r="B2062" s="333">
        <f t="shared" si="38"/>
        <v>388696.73</v>
      </c>
      <c r="C2062" s="333">
        <v>388496.73</v>
      </c>
      <c r="D2062" s="486">
        <v>200</v>
      </c>
    </row>
    <row r="2063" spans="1:4" x14ac:dyDescent="0.2">
      <c r="A2063" s="344">
        <v>45233</v>
      </c>
      <c r="B2063" s="333">
        <f t="shared" si="38"/>
        <v>388696.73</v>
      </c>
      <c r="C2063" s="333">
        <f t="shared" si="37"/>
        <v>388496.73</v>
      </c>
      <c r="D2063" s="486">
        <v>200</v>
      </c>
    </row>
    <row r="2064" spans="1:4" x14ac:dyDescent="0.2">
      <c r="A2064" s="344">
        <v>45236</v>
      </c>
      <c r="B2064" s="333">
        <f t="shared" si="38"/>
        <v>354074.98</v>
      </c>
      <c r="C2064" s="333">
        <v>353874.98</v>
      </c>
      <c r="D2064" s="486">
        <v>200</v>
      </c>
    </row>
    <row r="2065" spans="1:4" x14ac:dyDescent="0.2">
      <c r="A2065" s="344">
        <v>45237</v>
      </c>
      <c r="B2065" s="333">
        <f t="shared" si="38"/>
        <v>354074.98</v>
      </c>
      <c r="C2065" s="333">
        <f t="shared" si="37"/>
        <v>353874.98</v>
      </c>
      <c r="D2065" s="486">
        <v>200</v>
      </c>
    </row>
    <row r="2066" spans="1:4" x14ac:dyDescent="0.2">
      <c r="A2066" s="344">
        <v>45238</v>
      </c>
      <c r="B2066" s="333">
        <f t="shared" si="38"/>
        <v>412115.27</v>
      </c>
      <c r="C2066" s="333">
        <v>411915.27</v>
      </c>
      <c r="D2066" s="486">
        <v>200</v>
      </c>
    </row>
    <row r="2067" spans="1:4" x14ac:dyDescent="0.2">
      <c r="A2067" s="344">
        <v>45239</v>
      </c>
      <c r="B2067" s="333">
        <f t="shared" si="38"/>
        <v>421170.44</v>
      </c>
      <c r="C2067" s="333">
        <v>420970.44</v>
      </c>
      <c r="D2067" s="486">
        <v>200</v>
      </c>
    </row>
    <row r="2068" spans="1:4" x14ac:dyDescent="0.2">
      <c r="A2068" s="344">
        <v>45240</v>
      </c>
      <c r="B2068" s="333">
        <f t="shared" si="38"/>
        <v>443466.68</v>
      </c>
      <c r="C2068" s="333">
        <v>443266.68</v>
      </c>
      <c r="D2068" s="486">
        <v>200</v>
      </c>
    </row>
    <row r="2069" spans="1:4" x14ac:dyDescent="0.2">
      <c r="A2069" s="344">
        <v>45243</v>
      </c>
      <c r="B2069" s="333">
        <f t="shared" si="38"/>
        <v>443466.68</v>
      </c>
      <c r="C2069" s="333">
        <f t="shared" si="37"/>
        <v>443266.68</v>
      </c>
      <c r="D2069" s="486">
        <v>200</v>
      </c>
    </row>
    <row r="2070" spans="1:4" x14ac:dyDescent="0.2">
      <c r="A2070" s="344">
        <v>45244</v>
      </c>
      <c r="B2070" s="333">
        <f t="shared" si="38"/>
        <v>443467.28</v>
      </c>
      <c r="C2070" s="333">
        <v>443267.28</v>
      </c>
      <c r="D2070" s="486">
        <v>200</v>
      </c>
    </row>
    <row r="2071" spans="1:4" x14ac:dyDescent="0.2">
      <c r="A2071" s="344">
        <v>45245</v>
      </c>
      <c r="B2071" s="333">
        <f t="shared" si="38"/>
        <v>467133.83</v>
      </c>
      <c r="C2071" s="333">
        <v>466933.83</v>
      </c>
      <c r="D2071" s="486">
        <v>200</v>
      </c>
    </row>
    <row r="2072" spans="1:4" x14ac:dyDescent="0.2">
      <c r="A2072" s="344">
        <v>45246</v>
      </c>
      <c r="B2072" s="333">
        <f t="shared" si="38"/>
        <v>457231.63</v>
      </c>
      <c r="C2072" s="333">
        <v>457031.63</v>
      </c>
      <c r="D2072" s="486">
        <v>200</v>
      </c>
    </row>
    <row r="2073" spans="1:4" x14ac:dyDescent="0.2">
      <c r="A2073" s="344">
        <v>45247</v>
      </c>
      <c r="B2073" s="333">
        <f t="shared" si="38"/>
        <v>457180.17</v>
      </c>
      <c r="C2073" s="333">
        <v>456980.17</v>
      </c>
      <c r="D2073" s="486">
        <v>200</v>
      </c>
    </row>
    <row r="2074" spans="1:4" x14ac:dyDescent="0.2">
      <c r="A2074" s="344">
        <v>45250</v>
      </c>
      <c r="B2074" s="333">
        <f t="shared" si="38"/>
        <v>413685.69</v>
      </c>
      <c r="C2074" s="333">
        <v>413485.69</v>
      </c>
      <c r="D2074" s="486">
        <v>200</v>
      </c>
    </row>
    <row r="2075" spans="1:4" x14ac:dyDescent="0.2">
      <c r="A2075" s="344">
        <v>45251</v>
      </c>
      <c r="B2075" s="333">
        <f t="shared" si="38"/>
        <v>413685.69</v>
      </c>
      <c r="C2075" s="333">
        <f t="shared" si="37"/>
        <v>413485.69</v>
      </c>
      <c r="D2075" s="486">
        <v>200</v>
      </c>
    </row>
    <row r="2076" spans="1:4" x14ac:dyDescent="0.2">
      <c r="A2076" s="344">
        <v>45252</v>
      </c>
      <c r="B2076" s="333">
        <f t="shared" si="38"/>
        <v>414169.69</v>
      </c>
      <c r="C2076" s="333">
        <v>413969.69</v>
      </c>
      <c r="D2076" s="486">
        <v>200</v>
      </c>
    </row>
    <row r="2077" spans="1:4" x14ac:dyDescent="0.2">
      <c r="A2077" s="344">
        <v>45253</v>
      </c>
      <c r="B2077" s="333">
        <f t="shared" si="38"/>
        <v>414169.69</v>
      </c>
      <c r="C2077" s="333">
        <f t="shared" si="37"/>
        <v>413969.69</v>
      </c>
      <c r="D2077" s="486">
        <v>200</v>
      </c>
    </row>
    <row r="2078" spans="1:4" x14ac:dyDescent="0.2">
      <c r="A2078" s="344">
        <v>45254</v>
      </c>
      <c r="B2078" s="333">
        <f t="shared" si="38"/>
        <v>413785.09</v>
      </c>
      <c r="C2078" s="333">
        <v>413585.09</v>
      </c>
      <c r="D2078" s="486">
        <v>200</v>
      </c>
    </row>
    <row r="2079" spans="1:4" x14ac:dyDescent="0.2">
      <c r="A2079" s="344">
        <v>45257</v>
      </c>
      <c r="B2079" s="333">
        <f t="shared" si="38"/>
        <v>413785.09</v>
      </c>
      <c r="C2079" s="333">
        <f t="shared" si="37"/>
        <v>413585.09</v>
      </c>
      <c r="D2079" s="486">
        <v>200</v>
      </c>
    </row>
    <row r="2080" spans="1:4" x14ac:dyDescent="0.2">
      <c r="A2080" s="344">
        <v>45258</v>
      </c>
      <c r="B2080" s="333">
        <f t="shared" si="38"/>
        <v>413647.44</v>
      </c>
      <c r="C2080" s="333">
        <v>413447.44</v>
      </c>
      <c r="D2080" s="486">
        <v>200</v>
      </c>
    </row>
    <row r="2081" spans="1:4" x14ac:dyDescent="0.2">
      <c r="A2081" s="344">
        <v>45259</v>
      </c>
      <c r="B2081" s="333">
        <f t="shared" si="38"/>
        <v>413647.44</v>
      </c>
      <c r="C2081" s="333">
        <f t="shared" si="37"/>
        <v>413447.44</v>
      </c>
      <c r="D2081" s="486">
        <v>200</v>
      </c>
    </row>
    <row r="2082" spans="1:4" x14ac:dyDescent="0.2">
      <c r="A2082" s="344">
        <v>45260</v>
      </c>
      <c r="B2082" s="333">
        <f t="shared" si="38"/>
        <v>456909.26</v>
      </c>
      <c r="C2082" s="333">
        <v>456709.26</v>
      </c>
      <c r="D2082" s="486">
        <v>200</v>
      </c>
    </row>
    <row r="2083" spans="1:4" x14ac:dyDescent="0.2">
      <c r="A2083" s="344">
        <v>45261</v>
      </c>
      <c r="B2083" s="333">
        <f t="shared" si="38"/>
        <v>456909.26</v>
      </c>
      <c r="C2083" s="333">
        <f t="shared" si="37"/>
        <v>456709.26</v>
      </c>
      <c r="D2083" s="486">
        <v>200</v>
      </c>
    </row>
    <row r="2084" spans="1:4" x14ac:dyDescent="0.2">
      <c r="A2084" s="344">
        <v>45264</v>
      </c>
      <c r="B2084" s="333">
        <f t="shared" si="38"/>
        <v>420452.25</v>
      </c>
      <c r="C2084" s="333">
        <v>420252.25</v>
      </c>
      <c r="D2084" s="486">
        <v>200</v>
      </c>
    </row>
    <row r="2085" spans="1:4" x14ac:dyDescent="0.2">
      <c r="A2085" s="344">
        <v>45265</v>
      </c>
      <c r="B2085" s="333">
        <f t="shared" si="38"/>
        <v>420452.25</v>
      </c>
      <c r="C2085" s="333">
        <f t="shared" si="37"/>
        <v>420252.25</v>
      </c>
      <c r="D2085" s="486">
        <v>200</v>
      </c>
    </row>
    <row r="2086" spans="1:4" x14ac:dyDescent="0.2">
      <c r="A2086" s="344">
        <v>45266</v>
      </c>
      <c r="B2086" s="333">
        <f t="shared" si="38"/>
        <v>545432.25</v>
      </c>
      <c r="C2086" s="333">
        <v>545232.25</v>
      </c>
      <c r="D2086" s="486">
        <v>200</v>
      </c>
    </row>
    <row r="2087" spans="1:4" x14ac:dyDescent="0.2">
      <c r="A2087" s="344">
        <v>45267</v>
      </c>
      <c r="B2087" s="333">
        <f t="shared" si="38"/>
        <v>545590.84</v>
      </c>
      <c r="C2087" s="333">
        <v>545390.84</v>
      </c>
      <c r="D2087" s="486">
        <v>200</v>
      </c>
    </row>
    <row r="2088" spans="1:4" x14ac:dyDescent="0.2">
      <c r="A2088" s="344">
        <v>45268</v>
      </c>
      <c r="B2088" s="333">
        <f t="shared" si="38"/>
        <v>525679.43000000005</v>
      </c>
      <c r="C2088" s="333">
        <v>525479.43000000005</v>
      </c>
      <c r="D2088" s="486">
        <v>200</v>
      </c>
    </row>
    <row r="2089" spans="1:4" x14ac:dyDescent="0.2">
      <c r="A2089" s="344">
        <v>45271</v>
      </c>
      <c r="B2089" s="333">
        <f t="shared" si="38"/>
        <v>545765.34</v>
      </c>
      <c r="C2089" s="333">
        <v>545565.34</v>
      </c>
      <c r="D2089" s="486">
        <v>200</v>
      </c>
    </row>
    <row r="2090" spans="1:4" x14ac:dyDescent="0.2">
      <c r="A2090" s="344">
        <v>45272</v>
      </c>
      <c r="B2090" s="333">
        <f t="shared" si="38"/>
        <v>546390.34</v>
      </c>
      <c r="C2090" s="333">
        <v>546190.34</v>
      </c>
      <c r="D2090" s="486">
        <v>200</v>
      </c>
    </row>
    <row r="2091" spans="1:4" x14ac:dyDescent="0.2">
      <c r="A2091" s="344">
        <v>45273</v>
      </c>
      <c r="B2091" s="333">
        <f t="shared" si="38"/>
        <v>546489.65</v>
      </c>
      <c r="C2091" s="333">
        <v>546289.65</v>
      </c>
      <c r="D2091" s="486">
        <v>200</v>
      </c>
    </row>
    <row r="2092" spans="1:4" x14ac:dyDescent="0.2">
      <c r="A2092" s="344">
        <v>45274</v>
      </c>
      <c r="B2092" s="333">
        <f t="shared" si="38"/>
        <v>540866.25</v>
      </c>
      <c r="C2092" s="333">
        <v>540666.25</v>
      </c>
      <c r="D2092" s="486">
        <v>200</v>
      </c>
    </row>
    <row r="2093" spans="1:4" x14ac:dyDescent="0.2">
      <c r="A2093" s="344">
        <v>45275</v>
      </c>
      <c r="B2093" s="333">
        <f t="shared" si="38"/>
        <v>540913.56000000006</v>
      </c>
      <c r="C2093" s="333">
        <v>540713.56000000006</v>
      </c>
      <c r="D2093" s="486">
        <v>200</v>
      </c>
    </row>
    <row r="2094" spans="1:4" x14ac:dyDescent="0.2">
      <c r="A2094" s="344">
        <v>45278</v>
      </c>
      <c r="B2094" s="333">
        <f t="shared" si="38"/>
        <v>533274.25</v>
      </c>
      <c r="C2094" s="333">
        <v>533074.25</v>
      </c>
      <c r="D2094" s="486">
        <v>200</v>
      </c>
    </row>
    <row r="2095" spans="1:4" x14ac:dyDescent="0.2">
      <c r="A2095" s="344">
        <v>45279</v>
      </c>
      <c r="B2095" s="333">
        <f t="shared" si="38"/>
        <v>618886.13</v>
      </c>
      <c r="C2095" s="333">
        <v>618686.13</v>
      </c>
      <c r="D2095" s="486">
        <v>200</v>
      </c>
    </row>
    <row r="2096" spans="1:4" x14ac:dyDescent="0.2">
      <c r="A2096" s="344">
        <v>45280</v>
      </c>
      <c r="B2096" s="333">
        <f t="shared" si="38"/>
        <v>614102.62</v>
      </c>
      <c r="C2096" s="333">
        <v>613902.62</v>
      </c>
      <c r="D2096" s="486">
        <v>200</v>
      </c>
    </row>
    <row r="2097" spans="1:8" x14ac:dyDescent="0.2">
      <c r="A2097" s="344">
        <v>45281</v>
      </c>
      <c r="B2097" s="333">
        <f t="shared" si="38"/>
        <v>624405.25</v>
      </c>
      <c r="C2097" s="333">
        <v>624205.25</v>
      </c>
      <c r="D2097" s="486">
        <v>200</v>
      </c>
    </row>
    <row r="2098" spans="1:8" x14ac:dyDescent="0.2">
      <c r="A2098" s="344">
        <v>45282</v>
      </c>
      <c r="B2098" s="333">
        <f t="shared" si="38"/>
        <v>626377.68000000005</v>
      </c>
      <c r="C2098" s="333">
        <v>626177.68000000005</v>
      </c>
      <c r="D2098" s="486">
        <v>200</v>
      </c>
    </row>
    <row r="2099" spans="1:8" x14ac:dyDescent="0.2">
      <c r="A2099" s="344">
        <v>45285</v>
      </c>
      <c r="B2099" s="333">
        <f t="shared" si="38"/>
        <v>626377.68000000005</v>
      </c>
      <c r="C2099" s="333">
        <f t="shared" si="37"/>
        <v>626177.68000000005</v>
      </c>
      <c r="D2099" s="486">
        <v>200</v>
      </c>
    </row>
    <row r="2100" spans="1:8" x14ac:dyDescent="0.2">
      <c r="A2100" s="344">
        <v>45286</v>
      </c>
      <c r="B2100" s="333">
        <f t="shared" si="38"/>
        <v>643671.14</v>
      </c>
      <c r="C2100" s="333">
        <v>643471.14</v>
      </c>
      <c r="D2100" s="486">
        <v>200</v>
      </c>
    </row>
    <row r="2101" spans="1:8" x14ac:dyDescent="0.2">
      <c r="A2101" s="344">
        <v>45287</v>
      </c>
      <c r="B2101" s="333">
        <f t="shared" si="38"/>
        <v>644766.57999999996</v>
      </c>
      <c r="C2101" s="333">
        <v>644566.57999999996</v>
      </c>
      <c r="D2101" s="486">
        <v>200</v>
      </c>
    </row>
    <row r="2102" spans="1:8" x14ac:dyDescent="0.2">
      <c r="A2102" s="344">
        <v>45288</v>
      </c>
      <c r="B2102" s="333">
        <f t="shared" si="38"/>
        <v>638881.80000000005</v>
      </c>
      <c r="C2102" s="333">
        <v>638681.80000000005</v>
      </c>
      <c r="D2102" s="486">
        <v>200</v>
      </c>
    </row>
    <row r="2103" spans="1:8" x14ac:dyDescent="0.2">
      <c r="A2103" s="344">
        <v>45289</v>
      </c>
      <c r="B2103" s="370">
        <f t="shared" si="38"/>
        <v>661874.81999999995</v>
      </c>
      <c r="C2103" s="333">
        <v>661674.81999999995</v>
      </c>
      <c r="D2103" s="486">
        <v>200</v>
      </c>
    </row>
    <row r="2104" spans="1:8" x14ac:dyDescent="0.2">
      <c r="A2104" s="344">
        <v>45290</v>
      </c>
      <c r="B2104" s="333">
        <f t="shared" ref="B2104:B2148" si="39">C2104+D2104</f>
        <v>661874.81999999995</v>
      </c>
      <c r="C2104" s="333">
        <f t="shared" ref="C2104:C2156" si="40">C2103</f>
        <v>661674.81999999995</v>
      </c>
      <c r="D2104" s="486">
        <v>200</v>
      </c>
      <c r="G2104" t="s">
        <v>650</v>
      </c>
      <c r="H2104" s="213">
        <f>AVERAGE(B1840:B2105)</f>
        <v>413183.96255639108</v>
      </c>
    </row>
    <row r="2105" spans="1:8" x14ac:dyDescent="0.2">
      <c r="A2105" s="344">
        <v>45291</v>
      </c>
      <c r="B2105" s="333">
        <f t="shared" si="39"/>
        <v>661874.81999999995</v>
      </c>
      <c r="C2105" s="333">
        <f t="shared" si="40"/>
        <v>661674.81999999995</v>
      </c>
      <c r="D2105" s="486">
        <v>200</v>
      </c>
    </row>
    <row r="2106" spans="1:8" x14ac:dyDescent="0.2">
      <c r="A2106" s="344">
        <v>45292</v>
      </c>
      <c r="B2106" s="333">
        <f t="shared" si="39"/>
        <v>661874.81999999995</v>
      </c>
      <c r="C2106" s="333">
        <f t="shared" si="40"/>
        <v>661674.81999999995</v>
      </c>
      <c r="D2106" s="486">
        <v>200</v>
      </c>
    </row>
    <row r="2107" spans="1:8" x14ac:dyDescent="0.2">
      <c r="A2107" s="344">
        <v>45293</v>
      </c>
      <c r="B2107" s="333">
        <f t="shared" si="39"/>
        <v>612116.59</v>
      </c>
      <c r="C2107" s="333">
        <v>611916.59</v>
      </c>
      <c r="D2107" s="486">
        <v>200</v>
      </c>
    </row>
    <row r="2108" spans="1:8" x14ac:dyDescent="0.2">
      <c r="A2108" s="344">
        <v>45294</v>
      </c>
      <c r="B2108" s="333">
        <f t="shared" si="39"/>
        <v>611802.93999999994</v>
      </c>
      <c r="C2108" s="333">
        <v>611602.93999999994</v>
      </c>
      <c r="D2108" s="486">
        <v>200</v>
      </c>
    </row>
    <row r="2109" spans="1:8" x14ac:dyDescent="0.2">
      <c r="A2109" s="344">
        <v>45295</v>
      </c>
      <c r="B2109" s="333">
        <f t="shared" si="39"/>
        <v>611802.93999999994</v>
      </c>
      <c r="C2109" s="333">
        <f t="shared" si="40"/>
        <v>611602.93999999994</v>
      </c>
      <c r="D2109" s="486">
        <v>200</v>
      </c>
    </row>
    <row r="2110" spans="1:8" x14ac:dyDescent="0.2">
      <c r="A2110" s="344">
        <v>45296</v>
      </c>
      <c r="B2110" s="333">
        <f t="shared" si="39"/>
        <v>611802.93999999994</v>
      </c>
      <c r="C2110" s="333">
        <f t="shared" si="40"/>
        <v>611602.93999999994</v>
      </c>
      <c r="D2110" s="486">
        <v>200</v>
      </c>
    </row>
    <row r="2111" spans="1:8" x14ac:dyDescent="0.2">
      <c r="A2111" s="344">
        <v>45299</v>
      </c>
      <c r="B2111" s="333">
        <f t="shared" si="39"/>
        <v>597286.13</v>
      </c>
      <c r="C2111" s="333">
        <v>597086.13</v>
      </c>
      <c r="D2111" s="486">
        <v>200</v>
      </c>
    </row>
    <row r="2112" spans="1:8" x14ac:dyDescent="0.2">
      <c r="A2112" s="344">
        <v>45300</v>
      </c>
      <c r="B2112" s="333">
        <f t="shared" si="39"/>
        <v>597286.13</v>
      </c>
      <c r="C2112" s="333">
        <f t="shared" si="40"/>
        <v>597086.13</v>
      </c>
      <c r="D2112" s="486">
        <v>200</v>
      </c>
    </row>
    <row r="2113" spans="1:4" x14ac:dyDescent="0.2">
      <c r="A2113" s="344">
        <v>45301</v>
      </c>
      <c r="B2113" s="333">
        <f t="shared" si="39"/>
        <v>597286.13</v>
      </c>
      <c r="C2113" s="333">
        <f t="shared" si="40"/>
        <v>597086.13</v>
      </c>
      <c r="D2113" s="486">
        <v>200</v>
      </c>
    </row>
    <row r="2114" spans="1:4" x14ac:dyDescent="0.2">
      <c r="A2114" s="344">
        <v>45302</v>
      </c>
      <c r="B2114" s="333">
        <f t="shared" si="39"/>
        <v>608030.19999999995</v>
      </c>
      <c r="C2114" s="333">
        <v>607830.19999999995</v>
      </c>
      <c r="D2114" s="486">
        <v>200</v>
      </c>
    </row>
    <row r="2115" spans="1:4" x14ac:dyDescent="0.2">
      <c r="A2115" s="344">
        <v>45303</v>
      </c>
      <c r="B2115" s="333">
        <f t="shared" si="39"/>
        <v>608078.04</v>
      </c>
      <c r="C2115" s="333">
        <v>607878.04</v>
      </c>
      <c r="D2115" s="486">
        <v>200</v>
      </c>
    </row>
    <row r="2116" spans="1:4" x14ac:dyDescent="0.2">
      <c r="A2116" s="344">
        <v>45306</v>
      </c>
      <c r="B2116" s="333">
        <f t="shared" si="39"/>
        <v>608078.04</v>
      </c>
      <c r="C2116" s="333">
        <f t="shared" si="40"/>
        <v>607878.04</v>
      </c>
      <c r="D2116" s="486">
        <v>200</v>
      </c>
    </row>
    <row r="2117" spans="1:4" x14ac:dyDescent="0.2">
      <c r="A2117" s="344">
        <v>45307</v>
      </c>
      <c r="B2117" s="333">
        <f t="shared" si="39"/>
        <v>586838.57999999996</v>
      </c>
      <c r="C2117" s="333">
        <v>586638.57999999996</v>
      </c>
      <c r="D2117" s="486">
        <v>200</v>
      </c>
    </row>
    <row r="2118" spans="1:4" x14ac:dyDescent="0.2">
      <c r="A2118" s="344">
        <v>45308</v>
      </c>
      <c r="B2118" s="333">
        <f t="shared" si="39"/>
        <v>582760.27</v>
      </c>
      <c r="C2118" s="333">
        <v>582560.27</v>
      </c>
      <c r="D2118" s="486">
        <v>200</v>
      </c>
    </row>
    <row r="2119" spans="1:4" x14ac:dyDescent="0.2">
      <c r="A2119" s="344">
        <v>45309</v>
      </c>
      <c r="B2119" s="333">
        <f t="shared" si="39"/>
        <v>591268.14</v>
      </c>
      <c r="C2119" s="333">
        <v>591068.14</v>
      </c>
      <c r="D2119" s="486">
        <v>200</v>
      </c>
    </row>
    <row r="2120" spans="1:4" x14ac:dyDescent="0.2">
      <c r="A2120" s="344">
        <v>45310</v>
      </c>
      <c r="B2120" s="333">
        <f t="shared" si="39"/>
        <v>606839.55000000005</v>
      </c>
      <c r="C2120" s="333">
        <v>606639.55000000005</v>
      </c>
      <c r="D2120" s="486">
        <v>200</v>
      </c>
    </row>
    <row r="2121" spans="1:4" x14ac:dyDescent="0.2">
      <c r="A2121" s="344">
        <v>45313</v>
      </c>
      <c r="B2121" s="333">
        <f t="shared" si="39"/>
        <v>594580.53</v>
      </c>
      <c r="C2121" s="333">
        <v>594380.53</v>
      </c>
      <c r="D2121" s="486">
        <v>200</v>
      </c>
    </row>
    <row r="2122" spans="1:4" x14ac:dyDescent="0.2">
      <c r="A2122" s="344">
        <v>45314</v>
      </c>
      <c r="B2122" s="333">
        <f t="shared" si="39"/>
        <v>593705.04</v>
      </c>
      <c r="C2122" s="333">
        <v>593505.04</v>
      </c>
      <c r="D2122" s="486">
        <v>200</v>
      </c>
    </row>
    <row r="2123" spans="1:4" x14ac:dyDescent="0.2">
      <c r="A2123" s="344">
        <v>45315</v>
      </c>
      <c r="B2123" s="333">
        <f t="shared" si="39"/>
        <v>593705.04</v>
      </c>
      <c r="C2123" s="333">
        <f t="shared" si="40"/>
        <v>593505.04</v>
      </c>
      <c r="D2123" s="486">
        <v>200</v>
      </c>
    </row>
    <row r="2124" spans="1:4" x14ac:dyDescent="0.2">
      <c r="A2124" s="344">
        <v>45316</v>
      </c>
      <c r="B2124" s="333">
        <f t="shared" si="39"/>
        <v>587304.93000000005</v>
      </c>
      <c r="C2124" s="333">
        <v>587104.93000000005</v>
      </c>
      <c r="D2124" s="486">
        <v>200</v>
      </c>
    </row>
    <row r="2125" spans="1:4" x14ac:dyDescent="0.2">
      <c r="A2125" s="344">
        <v>45317</v>
      </c>
      <c r="B2125" s="333">
        <f t="shared" si="39"/>
        <v>587269.94999999995</v>
      </c>
      <c r="C2125" s="333">
        <v>587069.94999999995</v>
      </c>
      <c r="D2125" s="486">
        <v>200</v>
      </c>
    </row>
    <row r="2126" spans="1:4" x14ac:dyDescent="0.2">
      <c r="A2126" s="344">
        <v>45320</v>
      </c>
      <c r="B2126" s="333">
        <f t="shared" si="39"/>
        <v>586679.74</v>
      </c>
      <c r="C2126" s="333">
        <v>586479.74</v>
      </c>
      <c r="D2126" s="486">
        <v>200</v>
      </c>
    </row>
    <row r="2127" spans="1:4" x14ac:dyDescent="0.2">
      <c r="A2127" s="344">
        <v>45321</v>
      </c>
      <c r="B2127" s="333">
        <f t="shared" si="39"/>
        <v>553504.59</v>
      </c>
      <c r="C2127" s="333">
        <v>553304.59</v>
      </c>
      <c r="D2127" s="486">
        <v>200</v>
      </c>
    </row>
    <row r="2128" spans="1:4" x14ac:dyDescent="0.2">
      <c r="A2128" s="344">
        <v>45322</v>
      </c>
      <c r="B2128" s="333">
        <f t="shared" si="39"/>
        <v>553504.59</v>
      </c>
      <c r="C2128" s="333">
        <f t="shared" si="40"/>
        <v>553304.59</v>
      </c>
      <c r="D2128" s="486">
        <v>200</v>
      </c>
    </row>
    <row r="2129" spans="1:4" x14ac:dyDescent="0.2">
      <c r="A2129" s="344">
        <v>45323</v>
      </c>
      <c r="B2129" s="333">
        <f t="shared" si="39"/>
        <v>553504.59</v>
      </c>
      <c r="C2129" s="333">
        <f t="shared" si="40"/>
        <v>553304.59</v>
      </c>
      <c r="D2129" s="486">
        <v>200</v>
      </c>
    </row>
    <row r="2130" spans="1:4" x14ac:dyDescent="0.2">
      <c r="A2130" s="344">
        <v>45324</v>
      </c>
      <c r="B2130" s="333">
        <f t="shared" si="39"/>
        <v>592925.96</v>
      </c>
      <c r="C2130" s="333">
        <v>592725.96</v>
      </c>
      <c r="D2130" s="486">
        <v>200</v>
      </c>
    </row>
    <row r="2131" spans="1:4" x14ac:dyDescent="0.2">
      <c r="A2131" s="344">
        <v>45327</v>
      </c>
      <c r="B2131" s="333">
        <f t="shared" si="39"/>
        <v>579325.18999999994</v>
      </c>
      <c r="C2131" s="333">
        <v>579125.18999999994</v>
      </c>
      <c r="D2131" s="486">
        <v>200</v>
      </c>
    </row>
    <row r="2132" spans="1:4" x14ac:dyDescent="0.2">
      <c r="A2132" s="344">
        <v>45328</v>
      </c>
      <c r="B2132" s="333">
        <f t="shared" si="39"/>
        <v>579515.18999999994</v>
      </c>
      <c r="C2132" s="333">
        <v>579315.18999999994</v>
      </c>
      <c r="D2132" s="486">
        <v>200</v>
      </c>
    </row>
    <row r="2133" spans="1:4" x14ac:dyDescent="0.2">
      <c r="A2133" s="344">
        <v>45329</v>
      </c>
      <c r="B2133" s="333">
        <f t="shared" si="39"/>
        <v>580657.82999999996</v>
      </c>
      <c r="C2133" s="333">
        <v>580457.82999999996</v>
      </c>
      <c r="D2133" s="486">
        <v>200</v>
      </c>
    </row>
    <row r="2134" spans="1:4" x14ac:dyDescent="0.2">
      <c r="A2134" s="344">
        <v>45330</v>
      </c>
      <c r="B2134" s="333">
        <f t="shared" si="39"/>
        <v>579328.14</v>
      </c>
      <c r="C2134" s="333">
        <v>579128.14</v>
      </c>
      <c r="D2134" s="486">
        <v>200</v>
      </c>
    </row>
    <row r="2135" spans="1:4" x14ac:dyDescent="0.2">
      <c r="A2135" s="344">
        <v>45331</v>
      </c>
      <c r="B2135" s="333">
        <f t="shared" si="39"/>
        <v>579328.14</v>
      </c>
      <c r="C2135" s="333">
        <f t="shared" si="40"/>
        <v>579128.14</v>
      </c>
      <c r="D2135" s="486">
        <v>200</v>
      </c>
    </row>
    <row r="2136" spans="1:4" x14ac:dyDescent="0.2">
      <c r="A2136" s="344">
        <v>45334</v>
      </c>
      <c r="B2136" s="333">
        <f t="shared" si="39"/>
        <v>543891.63</v>
      </c>
      <c r="C2136" s="333">
        <v>543691.63</v>
      </c>
      <c r="D2136" s="486">
        <v>200</v>
      </c>
    </row>
    <row r="2137" spans="1:4" x14ac:dyDescent="0.2">
      <c r="A2137" s="344">
        <v>45335</v>
      </c>
      <c r="B2137" s="333">
        <f t="shared" si="39"/>
        <v>543891.63</v>
      </c>
      <c r="C2137" s="333">
        <f t="shared" si="40"/>
        <v>543691.63</v>
      </c>
      <c r="D2137" s="486">
        <v>200</v>
      </c>
    </row>
    <row r="2138" spans="1:4" x14ac:dyDescent="0.2">
      <c r="A2138" s="344">
        <v>45336</v>
      </c>
      <c r="B2138" s="333">
        <f t="shared" si="39"/>
        <v>579929.61</v>
      </c>
      <c r="C2138" s="333">
        <v>579729.61</v>
      </c>
      <c r="D2138" s="486">
        <v>200</v>
      </c>
    </row>
    <row r="2139" spans="1:4" x14ac:dyDescent="0.2">
      <c r="A2139" s="344">
        <v>45337</v>
      </c>
      <c r="B2139" s="333">
        <f t="shared" si="39"/>
        <v>566140.77</v>
      </c>
      <c r="C2139" s="333">
        <v>565940.77</v>
      </c>
      <c r="D2139" s="486">
        <v>200</v>
      </c>
    </row>
    <row r="2140" spans="1:4" x14ac:dyDescent="0.2">
      <c r="A2140" s="344">
        <v>45338</v>
      </c>
      <c r="B2140" s="333">
        <f t="shared" si="39"/>
        <v>566424.71</v>
      </c>
      <c r="C2140" s="333">
        <v>566224.71</v>
      </c>
      <c r="D2140" s="486">
        <v>200</v>
      </c>
    </row>
    <row r="2141" spans="1:4" x14ac:dyDescent="0.2">
      <c r="A2141" s="344">
        <v>45341</v>
      </c>
      <c r="B2141" s="333">
        <f t="shared" si="39"/>
        <v>566424.71</v>
      </c>
      <c r="C2141" s="333">
        <f t="shared" si="40"/>
        <v>566224.71</v>
      </c>
      <c r="D2141" s="486">
        <v>200</v>
      </c>
    </row>
    <row r="2142" spans="1:4" x14ac:dyDescent="0.2">
      <c r="A2142" s="344">
        <v>45342</v>
      </c>
      <c r="B2142" s="333">
        <f t="shared" si="39"/>
        <v>585835.32999999996</v>
      </c>
      <c r="C2142" s="333">
        <v>585635.32999999996</v>
      </c>
      <c r="D2142" s="486">
        <v>200</v>
      </c>
    </row>
    <row r="2143" spans="1:4" x14ac:dyDescent="0.2">
      <c r="A2143" s="344">
        <v>45343</v>
      </c>
      <c r="B2143" s="333">
        <f t="shared" si="39"/>
        <v>585835.32999999996</v>
      </c>
      <c r="C2143" s="333">
        <f t="shared" si="40"/>
        <v>585635.32999999996</v>
      </c>
      <c r="D2143" s="486">
        <v>200</v>
      </c>
    </row>
    <row r="2144" spans="1:4" x14ac:dyDescent="0.2">
      <c r="A2144" s="344">
        <v>45344</v>
      </c>
      <c r="B2144" s="333">
        <f t="shared" si="39"/>
        <v>587749.09</v>
      </c>
      <c r="C2144" s="333">
        <v>587549.09</v>
      </c>
      <c r="D2144" s="486">
        <v>200</v>
      </c>
    </row>
    <row r="2145" spans="1:4" x14ac:dyDescent="0.2">
      <c r="A2145" s="344">
        <v>45345</v>
      </c>
      <c r="B2145" s="333">
        <f t="shared" si="39"/>
        <v>587703.09</v>
      </c>
      <c r="C2145" s="333">
        <v>587503.09</v>
      </c>
      <c r="D2145" s="486">
        <v>200</v>
      </c>
    </row>
    <row r="2146" spans="1:4" x14ac:dyDescent="0.2">
      <c r="A2146" s="344">
        <v>45348</v>
      </c>
      <c r="B2146" s="333">
        <f t="shared" si="39"/>
        <v>553831.01</v>
      </c>
      <c r="C2146" s="333">
        <v>553631.01</v>
      </c>
      <c r="D2146" s="486">
        <v>200</v>
      </c>
    </row>
    <row r="2147" spans="1:4" x14ac:dyDescent="0.2">
      <c r="A2147" s="344">
        <v>45349</v>
      </c>
      <c r="B2147" s="333">
        <f t="shared" si="39"/>
        <v>553831.01</v>
      </c>
      <c r="C2147" s="333">
        <f t="shared" si="40"/>
        <v>553631.01</v>
      </c>
      <c r="D2147" s="486">
        <v>200</v>
      </c>
    </row>
    <row r="2148" spans="1:4" x14ac:dyDescent="0.2">
      <c r="A2148" s="344">
        <v>45350</v>
      </c>
      <c r="B2148" s="333">
        <f t="shared" si="39"/>
        <v>553831.01</v>
      </c>
      <c r="C2148" s="333">
        <f t="shared" si="40"/>
        <v>553631.01</v>
      </c>
      <c r="D2148" s="486">
        <v>200</v>
      </c>
    </row>
    <row r="2149" spans="1:4" x14ac:dyDescent="0.2">
      <c r="A2149" s="344">
        <v>45351</v>
      </c>
      <c r="B2149" s="333">
        <f t="shared" ref="B2149:B2192" si="41">C2149+D2149</f>
        <v>553927.51</v>
      </c>
      <c r="C2149" s="333">
        <v>553727.51</v>
      </c>
      <c r="D2149" s="486">
        <v>200</v>
      </c>
    </row>
    <row r="2150" spans="1:4" x14ac:dyDescent="0.2">
      <c r="A2150" s="344">
        <v>45352</v>
      </c>
      <c r="B2150" s="333">
        <f t="shared" si="41"/>
        <v>639044.65</v>
      </c>
      <c r="C2150" s="333">
        <v>638844.65</v>
      </c>
      <c r="D2150" s="486">
        <v>200</v>
      </c>
    </row>
    <row r="2151" spans="1:4" x14ac:dyDescent="0.2">
      <c r="A2151" s="344">
        <v>45355</v>
      </c>
      <c r="B2151" s="333">
        <f t="shared" si="41"/>
        <v>639286.35</v>
      </c>
      <c r="C2151" s="333">
        <v>639086.35</v>
      </c>
      <c r="D2151" s="486">
        <v>200</v>
      </c>
    </row>
    <row r="2152" spans="1:4" x14ac:dyDescent="0.2">
      <c r="A2152" s="344">
        <v>45356</v>
      </c>
      <c r="B2152" s="333">
        <f t="shared" si="41"/>
        <v>639286.35</v>
      </c>
      <c r="C2152" s="333">
        <f t="shared" si="40"/>
        <v>639086.35</v>
      </c>
      <c r="D2152" s="486">
        <v>200</v>
      </c>
    </row>
    <row r="2153" spans="1:4" x14ac:dyDescent="0.2">
      <c r="A2153" s="344">
        <v>45357</v>
      </c>
      <c r="B2153" s="333">
        <f t="shared" si="41"/>
        <v>639286.35</v>
      </c>
      <c r="C2153" s="333">
        <f t="shared" si="40"/>
        <v>639086.35</v>
      </c>
      <c r="D2153" s="486">
        <v>200</v>
      </c>
    </row>
    <row r="2154" spans="1:4" x14ac:dyDescent="0.2">
      <c r="A2154" s="344">
        <v>45358</v>
      </c>
      <c r="B2154" s="333">
        <f t="shared" si="41"/>
        <v>616931.9</v>
      </c>
      <c r="C2154" s="333">
        <v>616731.9</v>
      </c>
      <c r="D2154" s="486">
        <v>200</v>
      </c>
    </row>
    <row r="2155" spans="1:4" x14ac:dyDescent="0.2">
      <c r="A2155" s="344">
        <v>45359</v>
      </c>
      <c r="B2155" s="333">
        <f t="shared" si="41"/>
        <v>616931.9</v>
      </c>
      <c r="C2155" s="333">
        <f t="shared" si="40"/>
        <v>616731.9</v>
      </c>
      <c r="D2155" s="486">
        <v>200</v>
      </c>
    </row>
    <row r="2156" spans="1:4" x14ac:dyDescent="0.2">
      <c r="A2156" s="344">
        <v>45362</v>
      </c>
      <c r="B2156" s="333">
        <f t="shared" si="41"/>
        <v>616931.9</v>
      </c>
      <c r="C2156" s="333">
        <f t="shared" si="40"/>
        <v>616731.9</v>
      </c>
      <c r="D2156" s="486">
        <v>200</v>
      </c>
    </row>
    <row r="2157" spans="1:4" x14ac:dyDescent="0.2">
      <c r="A2157" s="344">
        <v>45363</v>
      </c>
      <c r="B2157" s="333">
        <f t="shared" si="41"/>
        <v>580620.53</v>
      </c>
      <c r="C2157" s="333">
        <v>580420.53</v>
      </c>
      <c r="D2157" s="486">
        <v>200</v>
      </c>
    </row>
    <row r="2158" spans="1:4" x14ac:dyDescent="0.2">
      <c r="A2158" s="344">
        <v>45364</v>
      </c>
      <c r="B2158" s="333">
        <f t="shared" si="41"/>
        <v>589303.47</v>
      </c>
      <c r="C2158" s="333">
        <v>589103.47</v>
      </c>
      <c r="D2158" s="486">
        <v>200</v>
      </c>
    </row>
    <row r="2159" spans="1:4" x14ac:dyDescent="0.2">
      <c r="A2159" s="344">
        <v>45365</v>
      </c>
      <c r="B2159" s="333">
        <f t="shared" si="41"/>
        <v>573439.49</v>
      </c>
      <c r="C2159" s="333">
        <v>573239.49</v>
      </c>
      <c r="D2159" s="486">
        <v>200</v>
      </c>
    </row>
    <row r="2160" spans="1:4" x14ac:dyDescent="0.2">
      <c r="A2160" s="344">
        <v>45366</v>
      </c>
      <c r="B2160" s="333">
        <f t="shared" si="41"/>
        <v>573173.1</v>
      </c>
      <c r="C2160" s="333">
        <v>572973.1</v>
      </c>
      <c r="D2160" s="486">
        <v>200</v>
      </c>
    </row>
    <row r="2161" spans="1:4" x14ac:dyDescent="0.2">
      <c r="A2161" s="344">
        <v>45369</v>
      </c>
      <c r="B2161" s="333">
        <f t="shared" si="41"/>
        <v>597404.67000000004</v>
      </c>
      <c r="C2161" s="333">
        <v>597204.67000000004</v>
      </c>
      <c r="D2161" s="486">
        <v>200</v>
      </c>
    </row>
    <row r="2162" spans="1:4" x14ac:dyDescent="0.2">
      <c r="A2162" s="344">
        <v>45370</v>
      </c>
      <c r="B2162" s="333">
        <f t="shared" si="41"/>
        <v>597454.31999999995</v>
      </c>
      <c r="C2162" s="333">
        <v>597254.31999999995</v>
      </c>
      <c r="D2162" s="486">
        <v>200</v>
      </c>
    </row>
    <row r="2163" spans="1:4" x14ac:dyDescent="0.2">
      <c r="A2163" s="344">
        <v>45371</v>
      </c>
      <c r="B2163" s="333">
        <f t="shared" si="41"/>
        <v>594610.32999999996</v>
      </c>
      <c r="C2163" s="333">
        <v>594410.32999999996</v>
      </c>
      <c r="D2163" s="486">
        <v>200</v>
      </c>
    </row>
    <row r="2164" spans="1:4" x14ac:dyDescent="0.2">
      <c r="A2164" s="344">
        <v>45372</v>
      </c>
      <c r="B2164" s="333">
        <f t="shared" si="41"/>
        <v>599459.89</v>
      </c>
      <c r="C2164" s="333">
        <v>599259.89</v>
      </c>
      <c r="D2164" s="486">
        <v>200</v>
      </c>
    </row>
    <row r="2165" spans="1:4" x14ac:dyDescent="0.2">
      <c r="A2165" s="344">
        <v>45373</v>
      </c>
      <c r="B2165" s="333">
        <f t="shared" si="41"/>
        <v>621376.56999999995</v>
      </c>
      <c r="C2165" s="333">
        <v>621176.56999999995</v>
      </c>
      <c r="D2165" s="486">
        <v>200</v>
      </c>
    </row>
    <row r="2166" spans="1:4" x14ac:dyDescent="0.2">
      <c r="A2166" s="344">
        <v>45376</v>
      </c>
      <c r="B2166" s="333">
        <f t="shared" si="41"/>
        <v>639731.09</v>
      </c>
      <c r="C2166" s="333">
        <v>639531.09</v>
      </c>
      <c r="D2166" s="486">
        <v>200</v>
      </c>
    </row>
    <row r="2167" spans="1:4" x14ac:dyDescent="0.2">
      <c r="A2167" s="344">
        <v>45377</v>
      </c>
      <c r="B2167" s="333">
        <f t="shared" si="41"/>
        <v>603296.46</v>
      </c>
      <c r="C2167" s="333">
        <v>603096.46</v>
      </c>
      <c r="D2167" s="486">
        <v>200</v>
      </c>
    </row>
    <row r="2168" spans="1:4" x14ac:dyDescent="0.2">
      <c r="A2168" s="344">
        <v>45378</v>
      </c>
      <c r="B2168" s="333">
        <f t="shared" si="41"/>
        <v>602128.03</v>
      </c>
      <c r="C2168" s="333">
        <v>601928.03</v>
      </c>
      <c r="D2168" s="486">
        <v>200</v>
      </c>
    </row>
    <row r="2169" spans="1:4" x14ac:dyDescent="0.2">
      <c r="A2169" s="344">
        <v>45379</v>
      </c>
      <c r="B2169" s="333">
        <f t="shared" si="41"/>
        <v>610877.03</v>
      </c>
      <c r="C2169" s="333">
        <v>610677.03</v>
      </c>
      <c r="D2169" s="486">
        <v>200</v>
      </c>
    </row>
    <row r="2170" spans="1:4" x14ac:dyDescent="0.2">
      <c r="A2170" s="344">
        <v>45380</v>
      </c>
      <c r="B2170" s="333">
        <f t="shared" si="41"/>
        <v>629664.21</v>
      </c>
      <c r="C2170" s="333">
        <v>629464.21</v>
      </c>
      <c r="D2170" s="486">
        <v>200</v>
      </c>
    </row>
    <row r="2171" spans="1:4" x14ac:dyDescent="0.2">
      <c r="A2171" s="344">
        <v>45383</v>
      </c>
      <c r="B2171" s="333">
        <f t="shared" si="41"/>
        <v>629664.21</v>
      </c>
      <c r="C2171" s="333">
        <f t="shared" ref="C2171:C2228" si="42">C2170</f>
        <v>629464.21</v>
      </c>
      <c r="D2171" s="486">
        <v>200</v>
      </c>
    </row>
    <row r="2172" spans="1:4" x14ac:dyDescent="0.2">
      <c r="A2172" s="344">
        <v>45384</v>
      </c>
      <c r="B2172" s="333">
        <f t="shared" si="41"/>
        <v>629664.21</v>
      </c>
      <c r="C2172" s="333">
        <f t="shared" si="42"/>
        <v>629464.21</v>
      </c>
      <c r="D2172" s="486">
        <v>200</v>
      </c>
    </row>
    <row r="2173" spans="1:4" x14ac:dyDescent="0.2">
      <c r="A2173" s="344">
        <v>45385</v>
      </c>
      <c r="B2173" s="333">
        <f t="shared" si="41"/>
        <v>629904.21</v>
      </c>
      <c r="C2173" s="333">
        <v>629704.21</v>
      </c>
      <c r="D2173" s="486">
        <v>200</v>
      </c>
    </row>
    <row r="2174" spans="1:4" x14ac:dyDescent="0.2">
      <c r="A2174" s="344">
        <v>45386</v>
      </c>
      <c r="B2174" s="333">
        <f t="shared" si="41"/>
        <v>629904.21</v>
      </c>
      <c r="C2174" s="333">
        <f t="shared" si="42"/>
        <v>629704.21</v>
      </c>
      <c r="D2174" s="486">
        <v>200</v>
      </c>
    </row>
    <row r="2175" spans="1:4" x14ac:dyDescent="0.2">
      <c r="A2175" s="344">
        <v>45387</v>
      </c>
      <c r="B2175" s="333">
        <f t="shared" si="41"/>
        <v>630020.39</v>
      </c>
      <c r="C2175" s="333">
        <v>629820.39</v>
      </c>
      <c r="D2175" s="486">
        <v>200</v>
      </c>
    </row>
    <row r="2176" spans="1:4" x14ac:dyDescent="0.2">
      <c r="A2176" s="344">
        <v>45390</v>
      </c>
      <c r="B2176" s="333">
        <f t="shared" si="41"/>
        <v>630714.61</v>
      </c>
      <c r="C2176" s="333">
        <v>630514.61</v>
      </c>
      <c r="D2176" s="486">
        <v>200</v>
      </c>
    </row>
    <row r="2177" spans="1:4" x14ac:dyDescent="0.2">
      <c r="A2177" s="344">
        <v>45391</v>
      </c>
      <c r="B2177" s="333">
        <f t="shared" si="41"/>
        <v>573875.92000000004</v>
      </c>
      <c r="C2177" s="333">
        <v>573675.92000000004</v>
      </c>
      <c r="D2177" s="486">
        <v>200</v>
      </c>
    </row>
    <row r="2178" spans="1:4" x14ac:dyDescent="0.2">
      <c r="A2178" s="344">
        <v>45392</v>
      </c>
      <c r="B2178" s="333">
        <f t="shared" si="41"/>
        <v>590385.61</v>
      </c>
      <c r="C2178" s="333">
        <v>590185.61</v>
      </c>
      <c r="D2178" s="486">
        <v>200</v>
      </c>
    </row>
    <row r="2179" spans="1:4" x14ac:dyDescent="0.2">
      <c r="A2179" s="344">
        <v>45393</v>
      </c>
      <c r="B2179" s="333">
        <f t="shared" si="41"/>
        <v>590798.61</v>
      </c>
      <c r="C2179" s="333">
        <v>590598.61</v>
      </c>
      <c r="D2179" s="486">
        <v>200</v>
      </c>
    </row>
    <row r="2180" spans="1:4" x14ac:dyDescent="0.2">
      <c r="A2180" s="344">
        <v>45394</v>
      </c>
      <c r="B2180" s="333">
        <f t="shared" si="41"/>
        <v>590447.57999999996</v>
      </c>
      <c r="C2180" s="333">
        <v>590247.57999999996</v>
      </c>
      <c r="D2180" s="486">
        <v>200</v>
      </c>
    </row>
    <row r="2181" spans="1:4" x14ac:dyDescent="0.2">
      <c r="A2181" s="344">
        <v>45397</v>
      </c>
      <c r="B2181" s="333">
        <f t="shared" si="41"/>
        <v>589784.82999999996</v>
      </c>
      <c r="C2181" s="333">
        <v>589584.82999999996</v>
      </c>
      <c r="D2181" s="486">
        <v>200</v>
      </c>
    </row>
    <row r="2182" spans="1:4" x14ac:dyDescent="0.2">
      <c r="A2182" s="344">
        <v>45398</v>
      </c>
      <c r="B2182" s="333">
        <f t="shared" si="41"/>
        <v>591275.29</v>
      </c>
      <c r="C2182" s="333">
        <v>591075.29</v>
      </c>
      <c r="D2182" s="486">
        <v>200</v>
      </c>
    </row>
    <row r="2183" spans="1:4" x14ac:dyDescent="0.2">
      <c r="A2183" s="344">
        <v>45399</v>
      </c>
      <c r="B2183" s="333">
        <f t="shared" si="41"/>
        <v>591604.29</v>
      </c>
      <c r="C2183" s="333">
        <v>591404.29</v>
      </c>
      <c r="D2183" s="486">
        <v>200</v>
      </c>
    </row>
    <row r="2184" spans="1:4" x14ac:dyDescent="0.2">
      <c r="A2184" s="344">
        <v>45400</v>
      </c>
      <c r="B2184" s="333">
        <f t="shared" si="41"/>
        <v>595308.17000000004</v>
      </c>
      <c r="C2184" s="333">
        <v>595108.17000000004</v>
      </c>
      <c r="D2184" s="486">
        <v>200</v>
      </c>
    </row>
    <row r="2185" spans="1:4" x14ac:dyDescent="0.2">
      <c r="A2185" s="344">
        <v>45401</v>
      </c>
      <c r="B2185" s="333">
        <f t="shared" si="41"/>
        <v>595308.17000000004</v>
      </c>
      <c r="C2185" s="333">
        <f t="shared" si="42"/>
        <v>595108.17000000004</v>
      </c>
      <c r="D2185" s="486">
        <v>200</v>
      </c>
    </row>
    <row r="2186" spans="1:4" x14ac:dyDescent="0.2">
      <c r="A2186" s="344">
        <v>45404</v>
      </c>
      <c r="B2186" s="333">
        <f t="shared" si="41"/>
        <v>592390.28</v>
      </c>
      <c r="C2186" s="333">
        <v>592190.28</v>
      </c>
      <c r="D2186" s="486">
        <v>200</v>
      </c>
    </row>
    <row r="2187" spans="1:4" x14ac:dyDescent="0.2">
      <c r="A2187" s="344">
        <v>45405</v>
      </c>
      <c r="B2187" s="333">
        <f t="shared" si="41"/>
        <v>554571.62</v>
      </c>
      <c r="C2187" s="333">
        <v>554371.62</v>
      </c>
      <c r="D2187" s="486">
        <v>200</v>
      </c>
    </row>
    <row r="2188" spans="1:4" x14ac:dyDescent="0.2">
      <c r="A2188" s="344">
        <v>45406</v>
      </c>
      <c r="B2188" s="333">
        <f t="shared" si="41"/>
        <v>555118.31999999995</v>
      </c>
      <c r="C2188" s="333">
        <v>554918.31999999995</v>
      </c>
      <c r="D2188" s="486">
        <v>200</v>
      </c>
    </row>
    <row r="2189" spans="1:4" x14ac:dyDescent="0.2">
      <c r="A2189" s="344">
        <v>45407</v>
      </c>
      <c r="B2189" s="333">
        <f t="shared" si="41"/>
        <v>545445.69999999995</v>
      </c>
      <c r="C2189" s="333">
        <v>545245.69999999995</v>
      </c>
      <c r="D2189" s="486">
        <v>200</v>
      </c>
    </row>
    <row r="2190" spans="1:4" x14ac:dyDescent="0.2">
      <c r="A2190" s="344">
        <v>45408</v>
      </c>
      <c r="B2190" s="333">
        <f t="shared" si="41"/>
        <v>557177.62</v>
      </c>
      <c r="C2190" s="333">
        <v>556977.62</v>
      </c>
      <c r="D2190" s="486">
        <v>200</v>
      </c>
    </row>
    <row r="2191" spans="1:4" x14ac:dyDescent="0.2">
      <c r="A2191" s="344">
        <v>45411</v>
      </c>
      <c r="B2191" s="333">
        <f t="shared" si="41"/>
        <v>557177.62</v>
      </c>
      <c r="C2191" s="333">
        <f t="shared" si="42"/>
        <v>556977.62</v>
      </c>
      <c r="D2191" s="486">
        <v>200</v>
      </c>
    </row>
    <row r="2192" spans="1:4" x14ac:dyDescent="0.2">
      <c r="A2192" s="344">
        <v>45412</v>
      </c>
      <c r="B2192" s="333">
        <f t="shared" si="41"/>
        <v>557177.62</v>
      </c>
      <c r="C2192" s="333">
        <f t="shared" si="42"/>
        <v>556977.62</v>
      </c>
      <c r="D2192" s="486">
        <v>200</v>
      </c>
    </row>
    <row r="2193" spans="1:4" x14ac:dyDescent="0.2">
      <c r="A2193" s="344">
        <v>45413</v>
      </c>
      <c r="B2193" s="333">
        <f t="shared" ref="B2193:B2219" si="43">C2193+D2193</f>
        <v>557177.62</v>
      </c>
      <c r="C2193" s="333">
        <f t="shared" si="42"/>
        <v>556977.62</v>
      </c>
      <c r="D2193" s="486">
        <v>200</v>
      </c>
    </row>
    <row r="2194" spans="1:4" x14ac:dyDescent="0.2">
      <c r="A2194" s="344">
        <v>45414</v>
      </c>
      <c r="B2194" s="333">
        <f t="shared" si="43"/>
        <v>553656.31999999995</v>
      </c>
      <c r="C2194" s="333">
        <v>553456.31999999995</v>
      </c>
      <c r="D2194" s="486">
        <v>200</v>
      </c>
    </row>
    <row r="2195" spans="1:4" x14ac:dyDescent="0.2">
      <c r="A2195" s="344">
        <v>45415</v>
      </c>
      <c r="B2195" s="333">
        <f t="shared" si="43"/>
        <v>576179.18000000005</v>
      </c>
      <c r="C2195" s="333">
        <v>575979.18000000005</v>
      </c>
      <c r="D2195" s="486">
        <v>200</v>
      </c>
    </row>
    <row r="2196" spans="1:4" x14ac:dyDescent="0.2">
      <c r="A2196" s="344">
        <v>45418</v>
      </c>
      <c r="B2196" s="333">
        <f t="shared" si="43"/>
        <v>561372.46</v>
      </c>
      <c r="C2196" s="333">
        <v>561172.46</v>
      </c>
      <c r="D2196" s="486">
        <v>200</v>
      </c>
    </row>
    <row r="2197" spans="1:4" x14ac:dyDescent="0.2">
      <c r="A2197" s="344">
        <v>45419</v>
      </c>
      <c r="B2197" s="333">
        <f t="shared" si="43"/>
        <v>524111.97</v>
      </c>
      <c r="C2197" s="333">
        <v>523911.97</v>
      </c>
      <c r="D2197" s="486">
        <v>200</v>
      </c>
    </row>
    <row r="2198" spans="1:4" x14ac:dyDescent="0.2">
      <c r="A2198" s="344">
        <v>45420</v>
      </c>
      <c r="B2198" s="333">
        <f t="shared" si="43"/>
        <v>524111.97</v>
      </c>
      <c r="C2198" s="333">
        <f t="shared" si="42"/>
        <v>523911.97</v>
      </c>
      <c r="D2198" s="486">
        <v>200</v>
      </c>
    </row>
    <row r="2199" spans="1:4" x14ac:dyDescent="0.2">
      <c r="A2199" s="344">
        <v>45421</v>
      </c>
      <c r="B2199" s="333">
        <f t="shared" si="43"/>
        <v>518915.42</v>
      </c>
      <c r="C2199" s="333">
        <v>518715.42</v>
      </c>
      <c r="D2199" s="486">
        <v>200</v>
      </c>
    </row>
    <row r="2200" spans="1:4" x14ac:dyDescent="0.2">
      <c r="A2200" s="344">
        <v>45422</v>
      </c>
      <c r="B2200" s="333">
        <f t="shared" si="43"/>
        <v>518564.39</v>
      </c>
      <c r="C2200" s="333">
        <v>518364.39</v>
      </c>
      <c r="D2200" s="486">
        <v>200</v>
      </c>
    </row>
    <row r="2201" spans="1:4" x14ac:dyDescent="0.2">
      <c r="A2201" s="344">
        <v>45425</v>
      </c>
      <c r="B2201" s="333">
        <f t="shared" si="43"/>
        <v>518564.39</v>
      </c>
      <c r="C2201" s="333">
        <f t="shared" si="42"/>
        <v>518364.39</v>
      </c>
      <c r="D2201" s="486">
        <v>200</v>
      </c>
    </row>
    <row r="2202" spans="1:4" x14ac:dyDescent="0.2">
      <c r="A2202" s="344">
        <v>45426</v>
      </c>
      <c r="B2202" s="333">
        <f t="shared" si="43"/>
        <v>518564.39</v>
      </c>
      <c r="C2202" s="333">
        <f t="shared" si="42"/>
        <v>518364.39</v>
      </c>
      <c r="D2202" s="486">
        <v>200</v>
      </c>
    </row>
    <row r="2203" spans="1:4" x14ac:dyDescent="0.2">
      <c r="A2203" s="344">
        <v>45427</v>
      </c>
      <c r="B2203" s="333">
        <f t="shared" si="43"/>
        <v>518615.52</v>
      </c>
      <c r="C2203" s="333">
        <v>518415.52</v>
      </c>
      <c r="D2203" s="486">
        <v>200</v>
      </c>
    </row>
    <row r="2204" spans="1:4" x14ac:dyDescent="0.2">
      <c r="A2204" s="344">
        <v>45428</v>
      </c>
      <c r="B2204" s="333">
        <f t="shared" si="43"/>
        <v>521662.04</v>
      </c>
      <c r="C2204" s="333">
        <v>521462.04</v>
      </c>
      <c r="D2204" s="486">
        <v>200</v>
      </c>
    </row>
    <row r="2205" spans="1:4" x14ac:dyDescent="0.2">
      <c r="A2205" s="344">
        <v>45429</v>
      </c>
      <c r="B2205" s="333">
        <f t="shared" si="43"/>
        <v>555436.06999999995</v>
      </c>
      <c r="C2205" s="333">
        <v>555236.06999999995</v>
      </c>
      <c r="D2205" s="486">
        <v>200</v>
      </c>
    </row>
    <row r="2206" spans="1:4" x14ac:dyDescent="0.2">
      <c r="A2206" s="344">
        <v>45432</v>
      </c>
      <c r="B2206" s="333">
        <f t="shared" si="43"/>
        <v>553235.18000000005</v>
      </c>
      <c r="C2206" s="333">
        <v>553035.18000000005</v>
      </c>
      <c r="D2206" s="486">
        <v>200</v>
      </c>
    </row>
    <row r="2207" spans="1:4" x14ac:dyDescent="0.2">
      <c r="A2207" s="344">
        <v>45433</v>
      </c>
      <c r="B2207" s="333">
        <f t="shared" si="43"/>
        <v>516429.69</v>
      </c>
      <c r="C2207" s="333">
        <v>516229.69</v>
      </c>
      <c r="D2207" s="486">
        <v>200</v>
      </c>
    </row>
    <row r="2208" spans="1:4" x14ac:dyDescent="0.2">
      <c r="A2208" s="344">
        <v>45434</v>
      </c>
      <c r="B2208" s="333">
        <f t="shared" si="43"/>
        <v>574828.56999999995</v>
      </c>
      <c r="C2208" s="333">
        <v>574628.56999999995</v>
      </c>
      <c r="D2208" s="486">
        <v>200</v>
      </c>
    </row>
    <row r="2209" spans="1:5" x14ac:dyDescent="0.2">
      <c r="A2209" s="344">
        <v>45435</v>
      </c>
      <c r="B2209" s="333">
        <f t="shared" si="43"/>
        <v>574828.56999999995</v>
      </c>
      <c r="C2209" s="333">
        <f t="shared" si="42"/>
        <v>574628.56999999995</v>
      </c>
      <c r="D2209" s="486">
        <v>200</v>
      </c>
    </row>
    <row r="2210" spans="1:5" x14ac:dyDescent="0.2">
      <c r="A2210" s="344">
        <v>45436</v>
      </c>
      <c r="B2210" s="333">
        <f t="shared" si="43"/>
        <v>574828.56999999995</v>
      </c>
      <c r="C2210" s="333">
        <f t="shared" si="42"/>
        <v>574628.56999999995</v>
      </c>
      <c r="D2210" s="486">
        <v>200</v>
      </c>
    </row>
    <row r="2211" spans="1:5" x14ac:dyDescent="0.2">
      <c r="A2211" s="344">
        <v>45439</v>
      </c>
      <c r="B2211" s="333">
        <f t="shared" si="43"/>
        <v>574828.56999999995</v>
      </c>
      <c r="C2211" s="333">
        <f t="shared" si="42"/>
        <v>574628.56999999995</v>
      </c>
      <c r="D2211" s="486">
        <v>200</v>
      </c>
    </row>
    <row r="2212" spans="1:5" x14ac:dyDescent="0.2">
      <c r="A2212" s="344">
        <v>45440</v>
      </c>
      <c r="B2212" s="333">
        <f t="shared" si="43"/>
        <v>574828.56999999995</v>
      </c>
      <c r="C2212" s="333">
        <f t="shared" si="42"/>
        <v>574628.56999999995</v>
      </c>
      <c r="D2212" s="486">
        <v>200</v>
      </c>
    </row>
    <row r="2213" spans="1:5" x14ac:dyDescent="0.2">
      <c r="A2213" s="344">
        <v>45441</v>
      </c>
      <c r="B2213" s="333">
        <f t="shared" si="43"/>
        <v>574797.69999999995</v>
      </c>
      <c r="C2213" s="333">
        <v>574597.69999999995</v>
      </c>
      <c r="D2213" s="486">
        <v>200</v>
      </c>
    </row>
    <row r="2214" spans="1:5" x14ac:dyDescent="0.2">
      <c r="A2214" s="344">
        <v>45442</v>
      </c>
      <c r="B2214" s="333">
        <f t="shared" si="43"/>
        <v>574797.69999999995</v>
      </c>
      <c r="C2214" s="333">
        <f t="shared" si="42"/>
        <v>574597.69999999995</v>
      </c>
      <c r="D2214" s="486">
        <v>200</v>
      </c>
    </row>
    <row r="2215" spans="1:5" x14ac:dyDescent="0.2">
      <c r="A2215" s="344">
        <v>45443</v>
      </c>
      <c r="B2215" s="333">
        <f t="shared" si="43"/>
        <v>581217.82999999996</v>
      </c>
      <c r="C2215" s="333">
        <v>581017.82999999996</v>
      </c>
      <c r="D2215" s="486">
        <v>200</v>
      </c>
    </row>
    <row r="2216" spans="1:5" x14ac:dyDescent="0.2">
      <c r="A2216" s="344">
        <v>45446</v>
      </c>
      <c r="B2216" s="333">
        <f t="shared" si="43"/>
        <v>581797.82999999996</v>
      </c>
      <c r="C2216" s="333">
        <v>581597.82999999996</v>
      </c>
      <c r="D2216" s="486">
        <v>200</v>
      </c>
    </row>
    <row r="2217" spans="1:5" x14ac:dyDescent="0.2">
      <c r="A2217" s="344">
        <v>45447</v>
      </c>
      <c r="B2217" s="333">
        <f t="shared" si="43"/>
        <v>581797.82999999996</v>
      </c>
      <c r="C2217" s="333">
        <f t="shared" si="42"/>
        <v>581597.82999999996</v>
      </c>
      <c r="D2217" s="486">
        <v>200</v>
      </c>
    </row>
    <row r="2218" spans="1:5" x14ac:dyDescent="0.2">
      <c r="A2218" s="344">
        <v>45448</v>
      </c>
      <c r="B2218" s="333">
        <f t="shared" si="43"/>
        <v>547045.46</v>
      </c>
      <c r="C2218" s="333">
        <v>546845.46</v>
      </c>
      <c r="D2218" s="486">
        <v>200</v>
      </c>
    </row>
    <row r="2219" spans="1:5" x14ac:dyDescent="0.2">
      <c r="A2219" s="344">
        <v>45449</v>
      </c>
      <c r="B2219" s="333">
        <f t="shared" si="43"/>
        <v>547045.46</v>
      </c>
      <c r="C2219" s="333">
        <f t="shared" si="42"/>
        <v>546845.46</v>
      </c>
      <c r="D2219" s="486">
        <v>200</v>
      </c>
    </row>
    <row r="2220" spans="1:5" x14ac:dyDescent="0.2">
      <c r="A2220" s="344">
        <v>45450</v>
      </c>
      <c r="B2220" s="333">
        <f>C2220+D2220+E2220</f>
        <v>545941.55000000005</v>
      </c>
      <c r="C2220" s="333">
        <v>295741.55</v>
      </c>
      <c r="D2220" s="486">
        <v>200</v>
      </c>
      <c r="E2220" s="598">
        <v>250000</v>
      </c>
    </row>
    <row r="2221" spans="1:5" x14ac:dyDescent="0.2">
      <c r="A2221" s="344">
        <v>45453</v>
      </c>
      <c r="B2221" s="333">
        <f t="shared" ref="B2221:B2279" si="44">C2221+D2221+E2221</f>
        <v>546153.55000000005</v>
      </c>
      <c r="C2221" s="333">
        <v>295953.55</v>
      </c>
      <c r="D2221" s="486">
        <v>200</v>
      </c>
      <c r="E2221" s="598">
        <v>250000</v>
      </c>
    </row>
    <row r="2222" spans="1:5" x14ac:dyDescent="0.2">
      <c r="A2222" s="344">
        <v>45454</v>
      </c>
      <c r="B2222" s="333">
        <f t="shared" si="44"/>
        <v>546153.55000000005</v>
      </c>
      <c r="C2222" s="333">
        <f>C2221</f>
        <v>295953.55</v>
      </c>
      <c r="D2222" s="486">
        <v>200</v>
      </c>
      <c r="E2222" s="598">
        <v>250000</v>
      </c>
    </row>
    <row r="2223" spans="1:5" x14ac:dyDescent="0.2">
      <c r="A2223" s="344">
        <v>45455</v>
      </c>
      <c r="B2223" s="333">
        <f t="shared" si="44"/>
        <v>545553.55000000005</v>
      </c>
      <c r="C2223" s="333">
        <v>295353.55</v>
      </c>
      <c r="D2223" s="486">
        <v>200</v>
      </c>
      <c r="E2223" s="598">
        <v>250000</v>
      </c>
    </row>
    <row r="2224" spans="1:5" x14ac:dyDescent="0.2">
      <c r="A2224" s="344">
        <v>45456</v>
      </c>
      <c r="B2224" s="333">
        <f t="shared" si="44"/>
        <v>548862.66999999993</v>
      </c>
      <c r="C2224" s="333">
        <v>298662.67</v>
      </c>
      <c r="D2224" s="486">
        <v>200</v>
      </c>
      <c r="E2224" s="598">
        <v>250000</v>
      </c>
    </row>
    <row r="2225" spans="1:5" x14ac:dyDescent="0.2">
      <c r="A2225" s="344">
        <v>45457</v>
      </c>
      <c r="B2225" s="333">
        <f t="shared" si="44"/>
        <v>549142.23</v>
      </c>
      <c r="C2225" s="333">
        <v>298942.23</v>
      </c>
      <c r="D2225" s="486">
        <v>200</v>
      </c>
      <c r="E2225" s="598">
        <v>250000</v>
      </c>
    </row>
    <row r="2226" spans="1:5" x14ac:dyDescent="0.2">
      <c r="A2226" s="344">
        <v>45460</v>
      </c>
      <c r="B2226" s="333">
        <f t="shared" si="44"/>
        <v>549142.23</v>
      </c>
      <c r="C2226" s="333">
        <f t="shared" si="42"/>
        <v>298942.23</v>
      </c>
      <c r="D2226" s="486">
        <v>200</v>
      </c>
      <c r="E2226" s="598">
        <v>250000</v>
      </c>
    </row>
    <row r="2227" spans="1:5" x14ac:dyDescent="0.2">
      <c r="A2227" s="344">
        <v>45461</v>
      </c>
      <c r="B2227" s="333">
        <f t="shared" si="44"/>
        <v>514004.18</v>
      </c>
      <c r="C2227" s="333">
        <v>263804.18</v>
      </c>
      <c r="D2227" s="486">
        <v>200</v>
      </c>
      <c r="E2227" s="598">
        <v>250000</v>
      </c>
    </row>
    <row r="2228" spans="1:5" x14ac:dyDescent="0.2">
      <c r="A2228" s="344">
        <v>45462</v>
      </c>
      <c r="B2228" s="333">
        <f t="shared" si="44"/>
        <v>514004.18</v>
      </c>
      <c r="C2228" s="333">
        <f t="shared" si="42"/>
        <v>263804.18</v>
      </c>
      <c r="D2228" s="486">
        <v>200</v>
      </c>
      <c r="E2228" s="598">
        <v>250000</v>
      </c>
    </row>
    <row r="2229" spans="1:5" x14ac:dyDescent="0.2">
      <c r="A2229" s="344">
        <v>45463</v>
      </c>
      <c r="B2229" s="333">
        <f t="shared" si="44"/>
        <v>511182.78</v>
      </c>
      <c r="C2229" s="333">
        <v>260982.78</v>
      </c>
      <c r="D2229" s="486">
        <v>200</v>
      </c>
      <c r="E2229" s="598">
        <v>250000</v>
      </c>
    </row>
    <row r="2230" spans="1:5" x14ac:dyDescent="0.2">
      <c r="A2230" s="344">
        <v>45464</v>
      </c>
      <c r="B2230" s="333">
        <f t="shared" si="44"/>
        <v>510853.66000000003</v>
      </c>
      <c r="C2230" s="333">
        <v>260653.66</v>
      </c>
      <c r="D2230" s="486">
        <v>200</v>
      </c>
      <c r="E2230" s="598">
        <v>250000</v>
      </c>
    </row>
    <row r="2231" spans="1:5" x14ac:dyDescent="0.2">
      <c r="A2231" s="344">
        <v>45467</v>
      </c>
      <c r="B2231" s="333">
        <f t="shared" si="44"/>
        <v>507819.97</v>
      </c>
      <c r="C2231" s="333">
        <v>257619.97</v>
      </c>
      <c r="D2231" s="486">
        <v>200</v>
      </c>
      <c r="E2231" s="598">
        <v>250000</v>
      </c>
    </row>
    <row r="2232" spans="1:5" x14ac:dyDescent="0.2">
      <c r="A2232" s="344">
        <v>45468</v>
      </c>
      <c r="B2232" s="333">
        <f t="shared" si="44"/>
        <v>507789.1</v>
      </c>
      <c r="C2232" s="333">
        <v>257589.1</v>
      </c>
      <c r="D2232" s="486">
        <v>200</v>
      </c>
      <c r="E2232" s="598">
        <v>250000</v>
      </c>
    </row>
    <row r="2233" spans="1:5" x14ac:dyDescent="0.2">
      <c r="A2233" s="344">
        <v>45469</v>
      </c>
      <c r="B2233" s="370">
        <f t="shared" si="44"/>
        <v>507391.61</v>
      </c>
      <c r="C2233" s="333">
        <v>257191.61</v>
      </c>
      <c r="D2233" s="486">
        <v>200</v>
      </c>
      <c r="E2233" s="598">
        <v>250000</v>
      </c>
    </row>
    <row r="2234" spans="1:5" x14ac:dyDescent="0.2">
      <c r="A2234" s="344">
        <v>45470</v>
      </c>
      <c r="B2234" s="333">
        <f t="shared" si="44"/>
        <v>518580.22</v>
      </c>
      <c r="C2234" s="333">
        <v>268380.21999999997</v>
      </c>
      <c r="D2234" s="486">
        <v>200</v>
      </c>
      <c r="E2234" s="598">
        <v>250000</v>
      </c>
    </row>
    <row r="2235" spans="1:5" x14ac:dyDescent="0.2">
      <c r="A2235" s="344">
        <v>45471</v>
      </c>
      <c r="B2235" s="333">
        <f t="shared" si="44"/>
        <v>550978.54</v>
      </c>
      <c r="C2235" s="333">
        <v>300106.05</v>
      </c>
      <c r="D2235" s="486">
        <v>200</v>
      </c>
      <c r="E2235" s="598">
        <v>250672.49</v>
      </c>
    </row>
    <row r="2236" spans="1:5" x14ac:dyDescent="0.2">
      <c r="A2236" s="344">
        <v>45474</v>
      </c>
      <c r="B2236" s="333">
        <f t="shared" si="44"/>
        <v>517674.89</v>
      </c>
      <c r="C2236" s="333">
        <v>266802.40000000002</v>
      </c>
      <c r="D2236" s="486">
        <v>200</v>
      </c>
      <c r="E2236" s="598">
        <v>250672.49</v>
      </c>
    </row>
    <row r="2237" spans="1:5" x14ac:dyDescent="0.2">
      <c r="A2237" s="344">
        <v>45475</v>
      </c>
      <c r="B2237" s="333">
        <f t="shared" si="44"/>
        <v>517674.89</v>
      </c>
      <c r="C2237" s="333">
        <f>C2236</f>
        <v>266802.40000000002</v>
      </c>
      <c r="D2237" s="486">
        <v>200</v>
      </c>
      <c r="E2237" s="598">
        <v>250672.49</v>
      </c>
    </row>
    <row r="2238" spans="1:5" x14ac:dyDescent="0.2">
      <c r="A2238" s="344">
        <v>45476</v>
      </c>
      <c r="B2238" s="333">
        <f t="shared" si="44"/>
        <v>505993.19999999995</v>
      </c>
      <c r="C2238" s="333">
        <v>255120.71</v>
      </c>
      <c r="D2238" s="486">
        <v>200</v>
      </c>
      <c r="E2238" s="598">
        <v>250672.49</v>
      </c>
    </row>
    <row r="2239" spans="1:5" x14ac:dyDescent="0.2">
      <c r="A2239" s="344">
        <v>45477</v>
      </c>
      <c r="B2239" s="333">
        <f t="shared" si="44"/>
        <v>505993.19999999995</v>
      </c>
      <c r="C2239" s="333">
        <f t="shared" ref="C2239:C2279" si="45">C2238</f>
        <v>255120.71</v>
      </c>
      <c r="D2239" s="486">
        <v>200</v>
      </c>
      <c r="E2239" s="598">
        <v>250672.49</v>
      </c>
    </row>
    <row r="2240" spans="1:5" x14ac:dyDescent="0.2">
      <c r="A2240" s="344">
        <v>45478</v>
      </c>
      <c r="B2240" s="333">
        <f t="shared" si="44"/>
        <v>506811.4</v>
      </c>
      <c r="C2240" s="333">
        <v>255938.91</v>
      </c>
      <c r="D2240" s="486">
        <v>200</v>
      </c>
      <c r="E2240" s="598">
        <v>250672.49</v>
      </c>
    </row>
    <row r="2241" spans="1:5" x14ac:dyDescent="0.2">
      <c r="A2241" s="344">
        <v>45481</v>
      </c>
      <c r="B2241" s="333">
        <f t="shared" si="44"/>
        <v>506811.4</v>
      </c>
      <c r="C2241" s="333">
        <f t="shared" si="45"/>
        <v>255938.91</v>
      </c>
      <c r="D2241" s="486">
        <v>200</v>
      </c>
      <c r="E2241" s="598">
        <v>250672.49</v>
      </c>
    </row>
    <row r="2242" spans="1:5" x14ac:dyDescent="0.2">
      <c r="A2242" s="344">
        <v>45482</v>
      </c>
      <c r="B2242" s="333">
        <f t="shared" si="44"/>
        <v>507710.06</v>
      </c>
      <c r="C2242" s="333">
        <v>256837.57</v>
      </c>
      <c r="D2242" s="486">
        <v>200</v>
      </c>
      <c r="E2242" s="598">
        <v>250672.49</v>
      </c>
    </row>
    <row r="2243" spans="1:5" x14ac:dyDescent="0.2">
      <c r="A2243" s="344">
        <v>45483</v>
      </c>
      <c r="B2243" s="333">
        <f t="shared" si="44"/>
        <v>507810.06</v>
      </c>
      <c r="C2243" s="333">
        <v>256937.57</v>
      </c>
      <c r="D2243" s="486">
        <v>200</v>
      </c>
      <c r="E2243" s="598">
        <v>250672.49</v>
      </c>
    </row>
    <row r="2244" spans="1:5" x14ac:dyDescent="0.2">
      <c r="A2244" s="344">
        <v>45484</v>
      </c>
      <c r="B2244" s="333">
        <f t="shared" si="44"/>
        <v>507906.56</v>
      </c>
      <c r="C2244" s="333">
        <v>257034.07</v>
      </c>
      <c r="D2244" s="486">
        <v>200</v>
      </c>
      <c r="E2244" s="598">
        <v>250672.49</v>
      </c>
    </row>
    <row r="2245" spans="1:5" x14ac:dyDescent="0.2">
      <c r="A2245" s="344">
        <v>45485</v>
      </c>
      <c r="B2245" s="333">
        <f t="shared" si="44"/>
        <v>508693.88</v>
      </c>
      <c r="C2245" s="333">
        <v>257821.39</v>
      </c>
      <c r="D2245" s="486">
        <v>200</v>
      </c>
      <c r="E2245" s="598">
        <v>250672.49</v>
      </c>
    </row>
    <row r="2246" spans="1:5" x14ac:dyDescent="0.2">
      <c r="A2246" s="344">
        <v>45488</v>
      </c>
      <c r="B2246" s="333">
        <f t="shared" si="44"/>
        <v>509039.89</v>
      </c>
      <c r="C2246" s="333">
        <v>258167.4</v>
      </c>
      <c r="D2246" s="486">
        <v>200</v>
      </c>
      <c r="E2246" s="598">
        <v>250672.49</v>
      </c>
    </row>
    <row r="2247" spans="1:5" x14ac:dyDescent="0.2">
      <c r="A2247" s="344">
        <v>45489</v>
      </c>
      <c r="B2247" s="333">
        <f t="shared" si="44"/>
        <v>480741.11</v>
      </c>
      <c r="C2247" s="333">
        <v>229868.62</v>
      </c>
      <c r="D2247" s="486">
        <v>200</v>
      </c>
      <c r="E2247" s="598">
        <v>250672.49</v>
      </c>
    </row>
    <row r="2248" spans="1:5" x14ac:dyDescent="0.2">
      <c r="A2248" s="344">
        <v>45490</v>
      </c>
      <c r="B2248" s="333">
        <f t="shared" si="44"/>
        <v>492793.56999999995</v>
      </c>
      <c r="C2248" s="333">
        <v>241921.08</v>
      </c>
      <c r="D2248" s="486">
        <v>200</v>
      </c>
      <c r="E2248" s="598">
        <v>250672.49</v>
      </c>
    </row>
    <row r="2249" spans="1:5" x14ac:dyDescent="0.2">
      <c r="A2249" s="344">
        <v>45491</v>
      </c>
      <c r="B2249" s="333">
        <f t="shared" si="44"/>
        <v>490184.68</v>
      </c>
      <c r="C2249" s="333">
        <v>239312.19</v>
      </c>
      <c r="D2249" s="486">
        <v>200</v>
      </c>
      <c r="E2249" s="598">
        <v>250672.49</v>
      </c>
    </row>
    <row r="2250" spans="1:5" x14ac:dyDescent="0.2">
      <c r="A2250" s="344">
        <v>45492</v>
      </c>
      <c r="B2250" s="333">
        <f t="shared" si="44"/>
        <v>490825.35</v>
      </c>
      <c r="C2250" s="333">
        <v>239952.86</v>
      </c>
      <c r="D2250" s="486">
        <v>200</v>
      </c>
      <c r="E2250" s="598">
        <v>250672.49</v>
      </c>
    </row>
    <row r="2251" spans="1:5" x14ac:dyDescent="0.2">
      <c r="A2251" s="344">
        <v>45495</v>
      </c>
      <c r="B2251" s="333">
        <f t="shared" si="44"/>
        <v>487953.12</v>
      </c>
      <c r="C2251" s="333">
        <v>237080.63</v>
      </c>
      <c r="D2251" s="486">
        <v>200</v>
      </c>
      <c r="E2251" s="598">
        <v>250672.49</v>
      </c>
    </row>
    <row r="2252" spans="1:5" x14ac:dyDescent="0.2">
      <c r="A2252" s="344">
        <v>45496</v>
      </c>
      <c r="B2252" s="333">
        <f t="shared" si="44"/>
        <v>488049.62</v>
      </c>
      <c r="C2252" s="333">
        <v>237177.13</v>
      </c>
      <c r="D2252" s="486">
        <v>200</v>
      </c>
      <c r="E2252" s="598">
        <v>250672.49</v>
      </c>
    </row>
    <row r="2253" spans="1:5" x14ac:dyDescent="0.2">
      <c r="A2253" s="344">
        <v>45497</v>
      </c>
      <c r="B2253" s="333">
        <f t="shared" si="44"/>
        <v>488084.28</v>
      </c>
      <c r="C2253" s="333">
        <v>237211.79</v>
      </c>
      <c r="D2253" s="486">
        <v>200</v>
      </c>
      <c r="E2253" s="598">
        <v>250672.49</v>
      </c>
    </row>
    <row r="2254" spans="1:5" x14ac:dyDescent="0.2">
      <c r="A2254" s="344">
        <v>45498</v>
      </c>
      <c r="B2254" s="333">
        <f t="shared" si="44"/>
        <v>489260.69</v>
      </c>
      <c r="C2254" s="333">
        <v>238388.2</v>
      </c>
      <c r="D2254" s="486">
        <v>200</v>
      </c>
      <c r="E2254" s="598">
        <v>250672.49</v>
      </c>
    </row>
    <row r="2255" spans="1:5" x14ac:dyDescent="0.2">
      <c r="A2255" s="344">
        <v>45499</v>
      </c>
      <c r="B2255" s="333">
        <f t="shared" si="44"/>
        <v>487504.65</v>
      </c>
      <c r="C2255" s="333">
        <v>236632.16</v>
      </c>
      <c r="D2255" s="486">
        <v>200</v>
      </c>
      <c r="E2255" s="598">
        <v>250672.49</v>
      </c>
    </row>
    <row r="2256" spans="1:5" x14ac:dyDescent="0.2">
      <c r="A2256" s="344">
        <v>45502</v>
      </c>
      <c r="B2256" s="333">
        <f t="shared" si="44"/>
        <v>493139.31</v>
      </c>
      <c r="C2256" s="333">
        <v>242266.82</v>
      </c>
      <c r="D2256" s="486">
        <v>200</v>
      </c>
      <c r="E2256" s="598">
        <v>250672.49</v>
      </c>
    </row>
    <row r="2257" spans="1:5" x14ac:dyDescent="0.2">
      <c r="A2257" s="344">
        <v>45503</v>
      </c>
      <c r="B2257" s="333">
        <f t="shared" si="44"/>
        <v>460235.4</v>
      </c>
      <c r="C2257" s="333">
        <v>209362.91</v>
      </c>
      <c r="D2257" s="486">
        <v>200</v>
      </c>
      <c r="E2257" s="598">
        <v>250672.49</v>
      </c>
    </row>
    <row r="2258" spans="1:5" x14ac:dyDescent="0.2">
      <c r="A2258" s="344">
        <v>45504</v>
      </c>
      <c r="B2258" s="333">
        <f t="shared" si="44"/>
        <v>461284.12</v>
      </c>
      <c r="C2258" s="333">
        <v>209575.23</v>
      </c>
      <c r="D2258" s="486">
        <v>200</v>
      </c>
      <c r="E2258" s="598">
        <v>251508.89</v>
      </c>
    </row>
    <row r="2259" spans="1:5" x14ac:dyDescent="0.2">
      <c r="A2259" s="344">
        <v>45505</v>
      </c>
      <c r="B2259" s="333">
        <f t="shared" si="44"/>
        <v>459321.21</v>
      </c>
      <c r="C2259" s="333">
        <v>207612.32</v>
      </c>
      <c r="D2259" s="486">
        <v>200</v>
      </c>
      <c r="E2259" s="598">
        <v>251508.89</v>
      </c>
    </row>
    <row r="2260" spans="1:5" x14ac:dyDescent="0.2">
      <c r="A2260" s="344">
        <v>45506</v>
      </c>
      <c r="B2260" s="333">
        <f t="shared" si="44"/>
        <v>457084.76</v>
      </c>
      <c r="C2260" s="333">
        <v>205375.87</v>
      </c>
      <c r="D2260" s="486">
        <v>200</v>
      </c>
      <c r="E2260" s="598">
        <v>251508.89</v>
      </c>
    </row>
    <row r="2261" spans="1:5" x14ac:dyDescent="0.2">
      <c r="A2261" s="344">
        <v>45509</v>
      </c>
      <c r="B2261" s="333">
        <f t="shared" si="44"/>
        <v>463766.42000000004</v>
      </c>
      <c r="C2261" s="333">
        <v>212057.53</v>
      </c>
      <c r="D2261" s="486">
        <v>200</v>
      </c>
      <c r="E2261" s="598">
        <v>251508.89</v>
      </c>
    </row>
    <row r="2262" spans="1:5" x14ac:dyDescent="0.2">
      <c r="A2262" s="344">
        <v>45510</v>
      </c>
      <c r="B2262" s="333">
        <f t="shared" si="44"/>
        <v>463766.42000000004</v>
      </c>
      <c r="C2262" s="333">
        <f t="shared" si="45"/>
        <v>212057.53</v>
      </c>
      <c r="D2262" s="486">
        <v>200</v>
      </c>
      <c r="E2262" s="598">
        <v>251508.89</v>
      </c>
    </row>
    <row r="2263" spans="1:5" x14ac:dyDescent="0.2">
      <c r="A2263" s="344">
        <v>45511</v>
      </c>
      <c r="B2263" s="333">
        <f t="shared" si="44"/>
        <v>469122.74</v>
      </c>
      <c r="C2263" s="333">
        <v>217413.85</v>
      </c>
      <c r="D2263" s="486">
        <v>200</v>
      </c>
      <c r="E2263" s="598">
        <v>251508.89</v>
      </c>
    </row>
    <row r="2264" spans="1:5" x14ac:dyDescent="0.2">
      <c r="A2264" s="344">
        <v>45512</v>
      </c>
      <c r="B2264" s="333">
        <f t="shared" si="44"/>
        <v>469122.74</v>
      </c>
      <c r="C2264" s="333">
        <f t="shared" si="45"/>
        <v>217413.85</v>
      </c>
      <c r="D2264" s="486">
        <v>200</v>
      </c>
      <c r="E2264" s="598">
        <v>251508.89</v>
      </c>
    </row>
    <row r="2265" spans="1:5" x14ac:dyDescent="0.2">
      <c r="A2265" s="344">
        <v>45513</v>
      </c>
      <c r="B2265" s="333">
        <f t="shared" si="44"/>
        <v>492677.1</v>
      </c>
      <c r="C2265" s="333">
        <v>240968.21</v>
      </c>
      <c r="D2265" s="486">
        <v>200</v>
      </c>
      <c r="E2265" s="598">
        <v>251508.89</v>
      </c>
    </row>
    <row r="2266" spans="1:5" x14ac:dyDescent="0.2">
      <c r="A2266" s="344">
        <v>45516</v>
      </c>
      <c r="B2266" s="333">
        <f t="shared" si="44"/>
        <v>471079.96</v>
      </c>
      <c r="C2266" s="333">
        <v>219371.07</v>
      </c>
      <c r="D2266" s="486">
        <v>200</v>
      </c>
      <c r="E2266" s="598">
        <v>251508.89</v>
      </c>
    </row>
    <row r="2267" spans="1:5" x14ac:dyDescent="0.2">
      <c r="A2267" s="344">
        <v>45517</v>
      </c>
      <c r="B2267" s="333">
        <f t="shared" si="44"/>
        <v>471079.96</v>
      </c>
      <c r="C2267" s="333">
        <f t="shared" si="45"/>
        <v>219371.07</v>
      </c>
      <c r="D2267" s="486">
        <v>200</v>
      </c>
      <c r="E2267" s="598">
        <v>251508.89</v>
      </c>
    </row>
    <row r="2268" spans="1:5" x14ac:dyDescent="0.2">
      <c r="A2268" s="344">
        <v>45518</v>
      </c>
      <c r="B2268" s="333">
        <f t="shared" si="44"/>
        <v>441990.52</v>
      </c>
      <c r="C2268" s="333">
        <v>190281.63</v>
      </c>
      <c r="D2268" s="486">
        <v>200</v>
      </c>
      <c r="E2268" s="598">
        <v>251508.89</v>
      </c>
    </row>
    <row r="2269" spans="1:5" x14ac:dyDescent="0.2">
      <c r="A2269" s="344">
        <v>45519</v>
      </c>
      <c r="B2269" s="333">
        <f t="shared" si="44"/>
        <v>442836.98</v>
      </c>
      <c r="C2269" s="333">
        <v>191128.09</v>
      </c>
      <c r="D2269" s="486">
        <v>200</v>
      </c>
      <c r="E2269" s="598">
        <v>251508.89</v>
      </c>
    </row>
    <row r="2270" spans="1:5" x14ac:dyDescent="0.2">
      <c r="A2270" s="344">
        <v>45520</v>
      </c>
      <c r="B2270" s="333">
        <f t="shared" si="44"/>
        <v>442485.95</v>
      </c>
      <c r="C2270" s="333">
        <v>190777.06</v>
      </c>
      <c r="D2270" s="486">
        <v>200</v>
      </c>
      <c r="E2270" s="598">
        <v>251508.89</v>
      </c>
    </row>
    <row r="2271" spans="1:5" x14ac:dyDescent="0.2">
      <c r="A2271" s="344">
        <v>45523</v>
      </c>
      <c r="B2271" s="333">
        <f t="shared" si="44"/>
        <v>433080.95</v>
      </c>
      <c r="C2271" s="333">
        <v>181372.06</v>
      </c>
      <c r="D2271" s="486">
        <v>200</v>
      </c>
      <c r="E2271" s="598">
        <v>251508.89</v>
      </c>
    </row>
    <row r="2272" spans="1:5" x14ac:dyDescent="0.2">
      <c r="A2272" s="344">
        <v>45524</v>
      </c>
      <c r="B2272" s="333">
        <f t="shared" si="44"/>
        <v>430333.06000000006</v>
      </c>
      <c r="C2272" s="333">
        <v>178624.17</v>
      </c>
      <c r="D2272" s="486">
        <v>200</v>
      </c>
      <c r="E2272" s="598">
        <v>251508.89</v>
      </c>
    </row>
    <row r="2273" spans="1:8" x14ac:dyDescent="0.2">
      <c r="A2273" s="344">
        <v>45525</v>
      </c>
      <c r="B2273" s="333">
        <f t="shared" si="44"/>
        <v>427774.19</v>
      </c>
      <c r="C2273" s="333">
        <v>176065.3</v>
      </c>
      <c r="D2273" s="486">
        <v>200</v>
      </c>
      <c r="E2273" s="598">
        <v>251508.89</v>
      </c>
    </row>
    <row r="2274" spans="1:8" x14ac:dyDescent="0.2">
      <c r="A2274" s="344">
        <v>45526</v>
      </c>
      <c r="B2274" s="333">
        <f t="shared" si="44"/>
        <v>444122.88</v>
      </c>
      <c r="C2274" s="333">
        <v>192413.99</v>
      </c>
      <c r="D2274" s="486">
        <v>200</v>
      </c>
      <c r="E2274" s="598">
        <v>251508.89</v>
      </c>
    </row>
    <row r="2275" spans="1:8" x14ac:dyDescent="0.2">
      <c r="A2275" s="344">
        <v>45527</v>
      </c>
      <c r="B2275" s="333">
        <f t="shared" si="44"/>
        <v>444122.88</v>
      </c>
      <c r="C2275" s="333">
        <f t="shared" si="45"/>
        <v>192413.99</v>
      </c>
      <c r="D2275" s="486">
        <v>200</v>
      </c>
      <c r="E2275" s="598">
        <v>251508.89</v>
      </c>
    </row>
    <row r="2276" spans="1:8" x14ac:dyDescent="0.2">
      <c r="A2276" s="344">
        <v>45530</v>
      </c>
      <c r="B2276" s="333">
        <f t="shared" si="44"/>
        <v>444122.88</v>
      </c>
      <c r="C2276" s="333">
        <f t="shared" si="45"/>
        <v>192413.99</v>
      </c>
      <c r="D2276" s="486">
        <v>200</v>
      </c>
      <c r="E2276" s="598">
        <v>251508.89</v>
      </c>
    </row>
    <row r="2277" spans="1:8" x14ac:dyDescent="0.2">
      <c r="A2277" s="344">
        <v>45531</v>
      </c>
      <c r="B2277" s="333">
        <f t="shared" si="44"/>
        <v>444092.01</v>
      </c>
      <c r="C2277" s="333">
        <v>192383.12</v>
      </c>
      <c r="D2277" s="486">
        <v>200</v>
      </c>
      <c r="E2277" s="598">
        <v>251508.89</v>
      </c>
    </row>
    <row r="2278" spans="1:8" x14ac:dyDescent="0.2">
      <c r="A2278" s="344">
        <v>45532</v>
      </c>
      <c r="B2278" s="333">
        <f t="shared" si="44"/>
        <v>409823.26</v>
      </c>
      <c r="C2278" s="333">
        <v>158114.37</v>
      </c>
      <c r="D2278" s="486">
        <v>200</v>
      </c>
      <c r="E2278" s="598">
        <v>251508.89</v>
      </c>
    </row>
    <row r="2279" spans="1:8" x14ac:dyDescent="0.2">
      <c r="A2279" s="344">
        <v>45533</v>
      </c>
      <c r="B2279" s="333">
        <f t="shared" si="44"/>
        <v>409823.26</v>
      </c>
      <c r="C2279" s="333">
        <f t="shared" si="45"/>
        <v>158114.37</v>
      </c>
      <c r="D2279" s="486">
        <v>200</v>
      </c>
      <c r="E2279" s="598">
        <v>251508.89</v>
      </c>
    </row>
    <row r="2280" spans="1:8" x14ac:dyDescent="0.2">
      <c r="A2280" s="344">
        <v>45534</v>
      </c>
      <c r="B2280" s="333">
        <f>C2280+D2280+E2280</f>
        <v>431469.19</v>
      </c>
      <c r="C2280" s="333">
        <v>178921.1</v>
      </c>
      <c r="D2280" s="486">
        <v>200</v>
      </c>
      <c r="E2280" s="598">
        <v>252348.09</v>
      </c>
      <c r="H2280" s="213">
        <f>C2280-C2279</f>
        <v>20806.73000000001</v>
      </c>
    </row>
    <row r="2281" spans="1:8" x14ac:dyDescent="0.2">
      <c r="A2281" s="344">
        <v>45537</v>
      </c>
      <c r="B2281" s="333">
        <f t="shared" ref="B2281:B2344" si="46">C2281+D2281+E2281</f>
        <v>431469.19</v>
      </c>
      <c r="C2281" s="333">
        <v>178921.1</v>
      </c>
      <c r="D2281" s="486">
        <v>200</v>
      </c>
      <c r="E2281" s="598">
        <v>252348.09</v>
      </c>
    </row>
    <row r="2282" spans="1:8" x14ac:dyDescent="0.2">
      <c r="A2282" s="344">
        <v>45538</v>
      </c>
      <c r="B2282" s="333">
        <f t="shared" si="46"/>
        <v>431469.19</v>
      </c>
      <c r="C2282" s="333">
        <v>178921.1</v>
      </c>
      <c r="D2282" s="486">
        <v>200</v>
      </c>
      <c r="E2282" s="598">
        <v>252348.09</v>
      </c>
    </row>
    <row r="2283" spans="1:8" x14ac:dyDescent="0.2">
      <c r="A2283" s="344">
        <v>45539</v>
      </c>
      <c r="B2283" s="333">
        <f t="shared" si="46"/>
        <v>431469.19</v>
      </c>
      <c r="C2283" s="333">
        <v>178921.1</v>
      </c>
      <c r="D2283" s="486">
        <v>200</v>
      </c>
      <c r="E2283" s="598">
        <v>252348.09</v>
      </c>
    </row>
    <row r="2284" spans="1:8" x14ac:dyDescent="0.2">
      <c r="A2284" s="344">
        <v>45540</v>
      </c>
      <c r="B2284" s="333">
        <f t="shared" si="46"/>
        <v>431182.22</v>
      </c>
      <c r="C2284" s="333">
        <v>178634.13</v>
      </c>
      <c r="D2284" s="486">
        <v>200</v>
      </c>
      <c r="E2284" s="598">
        <v>252348.09</v>
      </c>
    </row>
    <row r="2285" spans="1:8" x14ac:dyDescent="0.2">
      <c r="A2285" s="344">
        <v>45541</v>
      </c>
      <c r="B2285" s="333">
        <f t="shared" si="46"/>
        <v>431060.93</v>
      </c>
      <c r="C2285" s="333">
        <v>178512.84</v>
      </c>
      <c r="D2285" s="486">
        <v>200</v>
      </c>
      <c r="E2285" s="598">
        <f t="shared" ref="E2285:E2290" si="47">E2284</f>
        <v>252348.09</v>
      </c>
    </row>
    <row r="2286" spans="1:8" x14ac:dyDescent="0.2">
      <c r="A2286" s="344">
        <v>45544</v>
      </c>
      <c r="B2286" s="333">
        <f t="shared" si="46"/>
        <v>431037.93</v>
      </c>
      <c r="C2286" s="333">
        <v>178489.84</v>
      </c>
      <c r="D2286" s="486">
        <v>200</v>
      </c>
      <c r="E2286" s="598">
        <f t="shared" si="47"/>
        <v>252348.09</v>
      </c>
    </row>
    <row r="2287" spans="1:8" x14ac:dyDescent="0.2">
      <c r="A2287" s="344">
        <v>45545</v>
      </c>
      <c r="B2287" s="333">
        <f t="shared" si="46"/>
        <v>394761.57</v>
      </c>
      <c r="C2287" s="333">
        <v>142213.48000000001</v>
      </c>
      <c r="D2287" s="486">
        <v>200</v>
      </c>
      <c r="E2287" s="598">
        <f t="shared" si="47"/>
        <v>252348.09</v>
      </c>
      <c r="H2287" s="213">
        <f>C2287-C2286</f>
        <v>-36276.359999999986</v>
      </c>
    </row>
    <row r="2288" spans="1:8" x14ac:dyDescent="0.2">
      <c r="A2288" s="344">
        <v>45546</v>
      </c>
      <c r="B2288" s="333">
        <f t="shared" si="46"/>
        <v>394761.57</v>
      </c>
      <c r="C2288" s="333">
        <v>142213.48000000001</v>
      </c>
      <c r="D2288" s="486">
        <v>200</v>
      </c>
      <c r="E2288" s="598">
        <f t="shared" si="47"/>
        <v>252348.09</v>
      </c>
    </row>
    <row r="2289" spans="1:8" x14ac:dyDescent="0.2">
      <c r="A2289" s="344">
        <v>45547</v>
      </c>
      <c r="B2289" s="333">
        <f t="shared" si="46"/>
        <v>388573.93</v>
      </c>
      <c r="C2289" s="333">
        <v>136025.84</v>
      </c>
      <c r="D2289" s="486">
        <v>200</v>
      </c>
      <c r="E2289" s="598">
        <f t="shared" si="47"/>
        <v>252348.09</v>
      </c>
    </row>
    <row r="2290" spans="1:8" x14ac:dyDescent="0.2">
      <c r="A2290" s="344">
        <v>45548</v>
      </c>
      <c r="B2290" s="333">
        <f t="shared" si="46"/>
        <v>388238.18</v>
      </c>
      <c r="C2290" s="333">
        <v>135690.09</v>
      </c>
      <c r="D2290" s="486">
        <v>200</v>
      </c>
      <c r="E2290" s="598">
        <f t="shared" si="47"/>
        <v>252348.09</v>
      </c>
    </row>
    <row r="2291" spans="1:8" x14ac:dyDescent="0.2">
      <c r="A2291" s="344">
        <v>45551</v>
      </c>
      <c r="B2291" s="333">
        <f t="shared" si="46"/>
        <v>388662.43</v>
      </c>
      <c r="C2291" s="333">
        <v>136114.34</v>
      </c>
      <c r="D2291" s="486">
        <v>200</v>
      </c>
      <c r="E2291" s="598">
        <v>252348.09</v>
      </c>
    </row>
    <row r="2292" spans="1:8" x14ac:dyDescent="0.2">
      <c r="A2292" s="344">
        <v>45552</v>
      </c>
      <c r="B2292" s="333">
        <f t="shared" si="46"/>
        <v>388662.43</v>
      </c>
      <c r="C2292" s="333">
        <v>136114.34</v>
      </c>
      <c r="D2292" s="486">
        <v>200</v>
      </c>
      <c r="E2292" s="598">
        <v>252348.09</v>
      </c>
    </row>
    <row r="2293" spans="1:8" x14ac:dyDescent="0.2">
      <c r="A2293" s="344">
        <v>45553</v>
      </c>
      <c r="B2293" s="333">
        <f t="shared" si="46"/>
        <v>391543.06999999995</v>
      </c>
      <c r="C2293" s="333">
        <v>138938.23999999999</v>
      </c>
      <c r="D2293" s="486">
        <v>256.74</v>
      </c>
      <c r="E2293" s="598">
        <v>252348.09</v>
      </c>
    </row>
    <row r="2294" spans="1:8" x14ac:dyDescent="0.2">
      <c r="A2294" s="344">
        <v>45554</v>
      </c>
      <c r="B2294" s="333">
        <f t="shared" si="46"/>
        <v>391543.06999999995</v>
      </c>
      <c r="C2294" s="333">
        <v>138938.23999999999</v>
      </c>
      <c r="D2294" s="486">
        <v>256.74</v>
      </c>
      <c r="E2294" s="598">
        <v>252348.09</v>
      </c>
    </row>
    <row r="2295" spans="1:8" x14ac:dyDescent="0.2">
      <c r="A2295" s="344">
        <v>45555</v>
      </c>
      <c r="B2295" s="333">
        <f t="shared" si="46"/>
        <v>389740.61</v>
      </c>
      <c r="C2295" s="333">
        <v>136020.34</v>
      </c>
      <c r="D2295" s="486">
        <v>257</v>
      </c>
      <c r="E2295" s="598">
        <v>253463.27</v>
      </c>
    </row>
    <row r="2296" spans="1:8" x14ac:dyDescent="0.2">
      <c r="A2296" s="344">
        <v>45558</v>
      </c>
      <c r="B2296" s="333">
        <f t="shared" si="46"/>
        <v>376111.05</v>
      </c>
      <c r="C2296" s="333">
        <v>122390.78</v>
      </c>
      <c r="D2296" s="486">
        <v>257</v>
      </c>
      <c r="E2296" s="598">
        <v>253463.27</v>
      </c>
      <c r="H2296" s="213">
        <f>C2296-C2295</f>
        <v>-13629.559999999998</v>
      </c>
    </row>
    <row r="2297" spans="1:8" x14ac:dyDescent="0.2">
      <c r="A2297" s="344">
        <v>45559</v>
      </c>
      <c r="B2297" s="333">
        <f t="shared" si="46"/>
        <v>334132.69</v>
      </c>
      <c r="C2297" s="333">
        <v>80469.42</v>
      </c>
      <c r="D2297" s="486">
        <v>200</v>
      </c>
      <c r="E2297" s="598">
        <v>253463.27</v>
      </c>
      <c r="H2297" s="213">
        <f>C2297-C2296</f>
        <v>-41921.360000000001</v>
      </c>
    </row>
    <row r="2298" spans="1:8" x14ac:dyDescent="0.2">
      <c r="A2298" s="344">
        <v>45560</v>
      </c>
      <c r="B2298" s="333">
        <f t="shared" si="46"/>
        <v>334616.39</v>
      </c>
      <c r="C2298" s="333">
        <v>80953.119999999995</v>
      </c>
      <c r="D2298" s="486">
        <v>200</v>
      </c>
      <c r="E2298" s="598">
        <v>253463.27</v>
      </c>
    </row>
    <row r="2299" spans="1:8" x14ac:dyDescent="0.2">
      <c r="A2299" s="344">
        <v>45560</v>
      </c>
      <c r="B2299" s="333">
        <f t="shared" si="46"/>
        <v>414568.4</v>
      </c>
      <c r="C2299" s="627">
        <v>160905.13</v>
      </c>
      <c r="D2299" s="486">
        <v>200</v>
      </c>
      <c r="E2299" s="598">
        <v>253463.27</v>
      </c>
      <c r="F2299" s="5">
        <f>E2299-E2298</f>
        <v>0</v>
      </c>
    </row>
    <row r="2300" spans="1:8" x14ac:dyDescent="0.2">
      <c r="A2300" s="344">
        <v>45560</v>
      </c>
      <c r="B2300" s="333">
        <f t="shared" si="46"/>
        <v>415428.4</v>
      </c>
      <c r="C2300" s="627">
        <v>161765.13</v>
      </c>
      <c r="D2300" s="486">
        <v>200</v>
      </c>
      <c r="E2300" s="598">
        <v>253463.27</v>
      </c>
    </row>
    <row r="2301" spans="1:8" x14ac:dyDescent="0.2">
      <c r="A2301" s="344">
        <v>45560</v>
      </c>
      <c r="B2301" s="333">
        <f t="shared" si="46"/>
        <v>415397.53</v>
      </c>
      <c r="C2301" s="627">
        <v>161734.26</v>
      </c>
      <c r="D2301" s="486">
        <v>200</v>
      </c>
      <c r="E2301" s="598">
        <v>253463.27</v>
      </c>
    </row>
    <row r="2302" spans="1:8" x14ac:dyDescent="0.2">
      <c r="A2302" s="344">
        <v>45561</v>
      </c>
      <c r="B2302" s="333">
        <f t="shared" si="46"/>
        <v>415400.43</v>
      </c>
      <c r="C2302" s="627">
        <v>161737.16</v>
      </c>
      <c r="D2302" s="486">
        <v>200</v>
      </c>
      <c r="E2302" s="598">
        <v>253463.27</v>
      </c>
    </row>
    <row r="2303" spans="1:8" x14ac:dyDescent="0.2">
      <c r="A2303" s="344">
        <v>45561</v>
      </c>
      <c r="B2303" s="333">
        <f t="shared" si="46"/>
        <v>435428.01</v>
      </c>
      <c r="C2303" s="627">
        <v>181764.74</v>
      </c>
      <c r="D2303" s="486">
        <v>200</v>
      </c>
      <c r="E2303" s="598">
        <v>253463.27</v>
      </c>
    </row>
    <row r="2304" spans="1:8" x14ac:dyDescent="0.2">
      <c r="A2304" s="344">
        <v>45561</v>
      </c>
      <c r="B2304" s="333">
        <f t="shared" si="46"/>
        <v>436352.06</v>
      </c>
      <c r="C2304" s="627">
        <v>182688.79</v>
      </c>
      <c r="D2304" s="486">
        <v>200</v>
      </c>
      <c r="E2304" s="598">
        <v>253463.27</v>
      </c>
    </row>
    <row r="2305" spans="1:5" x14ac:dyDescent="0.2">
      <c r="A2305" s="344">
        <v>45562</v>
      </c>
      <c r="B2305" s="333">
        <f t="shared" si="46"/>
        <v>436302.06</v>
      </c>
      <c r="C2305" s="627">
        <v>182638.79</v>
      </c>
      <c r="D2305" s="486">
        <v>200</v>
      </c>
      <c r="E2305" s="598">
        <v>253463.27</v>
      </c>
    </row>
    <row r="2306" spans="1:5" x14ac:dyDescent="0.2">
      <c r="A2306" s="344">
        <v>45562</v>
      </c>
      <c r="B2306" s="333">
        <f t="shared" si="46"/>
        <v>436248.54</v>
      </c>
      <c r="C2306" s="627">
        <v>182585.27</v>
      </c>
      <c r="D2306" s="486">
        <v>200</v>
      </c>
      <c r="E2306" s="598">
        <v>253463.27</v>
      </c>
    </row>
    <row r="2307" spans="1:5" x14ac:dyDescent="0.2">
      <c r="A2307" s="344">
        <v>45562</v>
      </c>
      <c r="B2307" s="333">
        <f t="shared" si="46"/>
        <v>435998.54</v>
      </c>
      <c r="C2307" s="627">
        <v>182335.27</v>
      </c>
      <c r="D2307" s="486">
        <v>200</v>
      </c>
      <c r="E2307" s="598">
        <v>253463.27</v>
      </c>
    </row>
    <row r="2308" spans="1:5" x14ac:dyDescent="0.2">
      <c r="A2308" s="344">
        <v>45562</v>
      </c>
      <c r="B2308" s="333">
        <f t="shared" si="46"/>
        <v>435781.03</v>
      </c>
      <c r="C2308" s="627">
        <v>182117.76000000001</v>
      </c>
      <c r="D2308" s="486">
        <v>200</v>
      </c>
      <c r="E2308" s="598">
        <v>253463.27</v>
      </c>
    </row>
    <row r="2309" spans="1:5" x14ac:dyDescent="0.2">
      <c r="A2309" s="344">
        <v>45562</v>
      </c>
      <c r="B2309" s="333">
        <f t="shared" si="46"/>
        <v>435577.56</v>
      </c>
      <c r="C2309" s="627">
        <v>181914.29</v>
      </c>
      <c r="D2309" s="486">
        <v>200</v>
      </c>
      <c r="E2309" s="598">
        <v>253463.27</v>
      </c>
    </row>
    <row r="2310" spans="1:5" x14ac:dyDescent="0.2">
      <c r="A2310" s="344">
        <v>45562</v>
      </c>
      <c r="B2310" s="333">
        <f t="shared" si="46"/>
        <v>456572.82999999996</v>
      </c>
      <c r="C2310" s="627">
        <v>202909.56</v>
      </c>
      <c r="D2310" s="486">
        <v>200</v>
      </c>
      <c r="E2310" s="598">
        <v>253463.27</v>
      </c>
    </row>
    <row r="2311" spans="1:5" x14ac:dyDescent="0.2">
      <c r="A2311" s="344">
        <v>45562</v>
      </c>
      <c r="B2311" s="333">
        <f t="shared" si="46"/>
        <v>456221.8</v>
      </c>
      <c r="C2311" s="627">
        <v>202558.53</v>
      </c>
      <c r="D2311" s="486">
        <v>200</v>
      </c>
      <c r="E2311" s="598">
        <v>253463.27</v>
      </c>
    </row>
    <row r="2312" spans="1:5" x14ac:dyDescent="0.2">
      <c r="A2312" s="344">
        <v>45568</v>
      </c>
      <c r="B2312" s="333">
        <f t="shared" si="46"/>
        <v>456117.56</v>
      </c>
      <c r="C2312" s="627">
        <v>202454.29</v>
      </c>
      <c r="D2312" s="486">
        <v>200</v>
      </c>
      <c r="E2312" s="598">
        <v>253463.27</v>
      </c>
    </row>
    <row r="2313" spans="1:5" x14ac:dyDescent="0.2">
      <c r="A2313" s="344">
        <v>45568</v>
      </c>
      <c r="B2313" s="333">
        <f t="shared" si="46"/>
        <v>455967.56</v>
      </c>
      <c r="C2313" s="627">
        <v>202304.29</v>
      </c>
      <c r="D2313" s="486">
        <v>200</v>
      </c>
      <c r="E2313" s="598">
        <v>253463.27</v>
      </c>
    </row>
    <row r="2314" spans="1:5" x14ac:dyDescent="0.2">
      <c r="A2314" s="344">
        <v>45568</v>
      </c>
      <c r="B2314" s="333">
        <f t="shared" si="46"/>
        <v>449876.04</v>
      </c>
      <c r="C2314" s="627">
        <v>196212.77</v>
      </c>
      <c r="D2314" s="486">
        <v>200</v>
      </c>
      <c r="E2314" s="598">
        <v>253463.27</v>
      </c>
    </row>
    <row r="2315" spans="1:5" x14ac:dyDescent="0.2">
      <c r="A2315" s="344">
        <v>45568</v>
      </c>
      <c r="B2315" s="333">
        <f t="shared" si="46"/>
        <v>447560.9</v>
      </c>
      <c r="C2315" s="627">
        <v>193897.63</v>
      </c>
      <c r="D2315" s="486">
        <v>200</v>
      </c>
      <c r="E2315" s="598">
        <v>253463.27</v>
      </c>
    </row>
    <row r="2316" spans="1:5" x14ac:dyDescent="0.2">
      <c r="A2316" s="344">
        <v>45568</v>
      </c>
      <c r="B2316" s="333">
        <f t="shared" si="46"/>
        <v>447352.9</v>
      </c>
      <c r="C2316" s="627">
        <v>193689.63</v>
      </c>
      <c r="D2316" s="486">
        <v>200</v>
      </c>
      <c r="E2316" s="598">
        <v>253463.27</v>
      </c>
    </row>
    <row r="2317" spans="1:5" x14ac:dyDescent="0.2">
      <c r="A2317" s="344">
        <v>45568</v>
      </c>
      <c r="B2317" s="333">
        <f t="shared" si="46"/>
        <v>446752.9</v>
      </c>
      <c r="C2317" s="627">
        <v>193089.63</v>
      </c>
      <c r="D2317" s="486">
        <v>200</v>
      </c>
      <c r="E2317" s="598">
        <v>253463.27</v>
      </c>
    </row>
    <row r="2318" spans="1:5" x14ac:dyDescent="0.2">
      <c r="A2318" s="344">
        <v>45568</v>
      </c>
      <c r="B2318" s="333">
        <f t="shared" si="46"/>
        <v>446306.68</v>
      </c>
      <c r="C2318" s="627">
        <v>192643.41</v>
      </c>
      <c r="D2318" s="486">
        <v>200</v>
      </c>
      <c r="E2318" s="598">
        <v>253463.27</v>
      </c>
    </row>
    <row r="2319" spans="1:5" x14ac:dyDescent="0.2">
      <c r="A2319" s="344">
        <v>45568</v>
      </c>
      <c r="B2319" s="333">
        <f t="shared" si="46"/>
        <v>445887.78</v>
      </c>
      <c r="C2319" s="627">
        <v>192224.51</v>
      </c>
      <c r="D2319" s="486">
        <v>200</v>
      </c>
      <c r="E2319" s="598">
        <v>253463.27</v>
      </c>
    </row>
    <row r="2320" spans="1:5" x14ac:dyDescent="0.2">
      <c r="A2320" s="344">
        <v>45568</v>
      </c>
      <c r="B2320" s="333">
        <f t="shared" si="46"/>
        <v>445505.47</v>
      </c>
      <c r="C2320" s="627">
        <v>191842.2</v>
      </c>
      <c r="D2320" s="486">
        <v>200</v>
      </c>
      <c r="E2320" s="598">
        <v>253463.27</v>
      </c>
    </row>
    <row r="2321" spans="1:5" x14ac:dyDescent="0.2">
      <c r="A2321" s="344">
        <v>45568</v>
      </c>
      <c r="B2321" s="333">
        <f t="shared" si="46"/>
        <v>445491.47</v>
      </c>
      <c r="C2321" s="627">
        <v>191828.2</v>
      </c>
      <c r="D2321" s="486">
        <v>200</v>
      </c>
      <c r="E2321" s="598">
        <v>253463.27</v>
      </c>
    </row>
    <row r="2322" spans="1:5" x14ac:dyDescent="0.2">
      <c r="A2322" s="344">
        <v>45568</v>
      </c>
      <c r="B2322" s="333">
        <f t="shared" si="46"/>
        <v>445038.72</v>
      </c>
      <c r="C2322" s="627">
        <v>191375.45</v>
      </c>
      <c r="D2322" s="486">
        <v>200</v>
      </c>
      <c r="E2322" s="598">
        <v>253463.27</v>
      </c>
    </row>
    <row r="2323" spans="1:5" x14ac:dyDescent="0.2">
      <c r="A2323" s="344">
        <v>45568</v>
      </c>
      <c r="B2323" s="333">
        <f t="shared" si="46"/>
        <v>444793.47</v>
      </c>
      <c r="C2323" s="627">
        <v>191130.2</v>
      </c>
      <c r="D2323" s="486">
        <v>200</v>
      </c>
      <c r="E2323" s="598">
        <v>253463.27</v>
      </c>
    </row>
    <row r="2324" spans="1:5" x14ac:dyDescent="0.2">
      <c r="A2324" s="344">
        <v>45568</v>
      </c>
      <c r="B2324" s="333">
        <f t="shared" si="46"/>
        <v>444729.55</v>
      </c>
      <c r="C2324" s="627">
        <v>191066.28</v>
      </c>
      <c r="D2324" s="486">
        <v>200</v>
      </c>
      <c r="E2324" s="598">
        <v>253463.27</v>
      </c>
    </row>
    <row r="2325" spans="1:5" x14ac:dyDescent="0.2">
      <c r="A2325" s="344">
        <v>45568</v>
      </c>
      <c r="B2325" s="333">
        <f t="shared" si="46"/>
        <v>444099.55</v>
      </c>
      <c r="C2325" s="627">
        <v>190436.28</v>
      </c>
      <c r="D2325" s="486">
        <v>200</v>
      </c>
      <c r="E2325" s="598">
        <v>253463.27</v>
      </c>
    </row>
    <row r="2326" spans="1:5" x14ac:dyDescent="0.2">
      <c r="A2326" s="344">
        <v>45568</v>
      </c>
      <c r="B2326" s="333">
        <f t="shared" si="46"/>
        <v>443978.94999999995</v>
      </c>
      <c r="C2326" s="627">
        <v>190315.68</v>
      </c>
      <c r="D2326" s="486">
        <v>200</v>
      </c>
      <c r="E2326" s="598">
        <v>253463.27</v>
      </c>
    </row>
    <row r="2327" spans="1:5" x14ac:dyDescent="0.2">
      <c r="A2327" s="344">
        <v>45568</v>
      </c>
      <c r="B2327" s="333">
        <f t="shared" si="46"/>
        <v>441928.94999999995</v>
      </c>
      <c r="C2327" s="627">
        <v>188265.68</v>
      </c>
      <c r="D2327" s="486">
        <v>200</v>
      </c>
      <c r="E2327" s="598">
        <v>253463.27</v>
      </c>
    </row>
    <row r="2328" spans="1:5" x14ac:dyDescent="0.2">
      <c r="A2328" s="344">
        <v>45568</v>
      </c>
      <c r="B2328" s="333">
        <f t="shared" si="46"/>
        <v>441330.20999999996</v>
      </c>
      <c r="C2328" s="627">
        <v>187666.94</v>
      </c>
      <c r="D2328" s="486">
        <v>200</v>
      </c>
      <c r="E2328" s="598">
        <v>253463.27</v>
      </c>
    </row>
    <row r="2329" spans="1:5" x14ac:dyDescent="0.2">
      <c r="A2329" s="344">
        <v>45568</v>
      </c>
      <c r="B2329" s="333">
        <f t="shared" si="46"/>
        <v>441289.15</v>
      </c>
      <c r="C2329" s="627">
        <v>187625.88</v>
      </c>
      <c r="D2329" s="486">
        <v>200</v>
      </c>
      <c r="E2329" s="598">
        <v>253463.27</v>
      </c>
    </row>
    <row r="2330" spans="1:5" x14ac:dyDescent="0.2">
      <c r="A2330" s="344">
        <v>45568</v>
      </c>
      <c r="B2330" s="333">
        <f t="shared" si="46"/>
        <v>441609.15</v>
      </c>
      <c r="C2330" s="627">
        <v>187945.88</v>
      </c>
      <c r="D2330" s="486">
        <v>200</v>
      </c>
      <c r="E2330" s="598">
        <v>253463.27</v>
      </c>
    </row>
    <row r="2331" spans="1:5" x14ac:dyDescent="0.2">
      <c r="A2331" s="344">
        <v>45569</v>
      </c>
      <c r="B2331" s="333">
        <f t="shared" si="46"/>
        <v>445038.06999999995</v>
      </c>
      <c r="C2331" s="627">
        <v>191374.8</v>
      </c>
      <c r="D2331" s="486">
        <v>200</v>
      </c>
      <c r="E2331" s="598">
        <v>253463.27</v>
      </c>
    </row>
    <row r="2332" spans="1:5" x14ac:dyDescent="0.2">
      <c r="A2332" s="344">
        <v>45572</v>
      </c>
      <c r="B2332" s="333">
        <f t="shared" si="46"/>
        <v>445015.06999999995</v>
      </c>
      <c r="C2332" s="627">
        <v>191351.8</v>
      </c>
      <c r="D2332" s="486">
        <v>200</v>
      </c>
      <c r="E2332" s="598">
        <v>253463.27</v>
      </c>
    </row>
    <row r="2333" spans="1:5" x14ac:dyDescent="0.2">
      <c r="A2333" s="344">
        <v>45572</v>
      </c>
      <c r="B2333" s="333">
        <f t="shared" si="46"/>
        <v>444684.66000000003</v>
      </c>
      <c r="C2333" s="627">
        <v>191021.39</v>
      </c>
      <c r="D2333" s="486">
        <v>200</v>
      </c>
      <c r="E2333" s="598">
        <v>253463.27</v>
      </c>
    </row>
    <row r="2334" spans="1:5" x14ac:dyDescent="0.2">
      <c r="A2334" s="344">
        <v>45572</v>
      </c>
      <c r="B2334" s="333">
        <f t="shared" si="46"/>
        <v>444084.66000000003</v>
      </c>
      <c r="C2334" s="627">
        <v>190421.39</v>
      </c>
      <c r="D2334" s="486">
        <v>200</v>
      </c>
      <c r="E2334" s="598">
        <v>253463.27</v>
      </c>
    </row>
    <row r="2335" spans="1:5" x14ac:dyDescent="0.2">
      <c r="A2335" s="344">
        <v>45572</v>
      </c>
      <c r="B2335" s="333">
        <f t="shared" si="46"/>
        <v>477690.05</v>
      </c>
      <c r="C2335" s="627">
        <v>224026.78</v>
      </c>
      <c r="D2335" s="486">
        <v>200</v>
      </c>
      <c r="E2335" s="598">
        <v>253463.27</v>
      </c>
    </row>
    <row r="2336" spans="1:5" x14ac:dyDescent="0.2">
      <c r="A2336" s="344">
        <v>45574</v>
      </c>
      <c r="B2336" s="333">
        <f t="shared" si="46"/>
        <v>435748.37</v>
      </c>
      <c r="C2336" s="627">
        <v>182085.1</v>
      </c>
      <c r="D2336" s="486">
        <v>200</v>
      </c>
      <c r="E2336" s="598">
        <v>253463.27</v>
      </c>
    </row>
    <row r="2337" spans="1:5" x14ac:dyDescent="0.2">
      <c r="A2337" s="344">
        <v>45575</v>
      </c>
      <c r="B2337" s="333">
        <f t="shared" si="46"/>
        <v>435671.87</v>
      </c>
      <c r="C2337" s="627">
        <v>182008.6</v>
      </c>
      <c r="D2337" s="486">
        <v>200</v>
      </c>
      <c r="E2337" s="598">
        <v>253463.27</v>
      </c>
    </row>
    <row r="2338" spans="1:5" x14ac:dyDescent="0.2">
      <c r="A2338" s="344">
        <v>45575</v>
      </c>
      <c r="B2338" s="333">
        <f t="shared" si="46"/>
        <v>435408.66000000003</v>
      </c>
      <c r="C2338" s="627">
        <v>181745.39</v>
      </c>
      <c r="D2338" s="486">
        <v>200</v>
      </c>
      <c r="E2338" s="598">
        <v>253463.27</v>
      </c>
    </row>
    <row r="2339" spans="1:5" x14ac:dyDescent="0.2">
      <c r="A2339" s="344">
        <v>45575</v>
      </c>
      <c r="B2339" s="333">
        <f t="shared" si="46"/>
        <v>435194.45999999996</v>
      </c>
      <c r="C2339" s="627">
        <v>181531.19</v>
      </c>
      <c r="D2339" s="486">
        <v>200</v>
      </c>
      <c r="E2339" s="598">
        <v>253463.27</v>
      </c>
    </row>
    <row r="2340" spans="1:5" x14ac:dyDescent="0.2">
      <c r="A2340" s="344">
        <v>45575</v>
      </c>
      <c r="B2340" s="333">
        <f t="shared" si="46"/>
        <v>435017.47</v>
      </c>
      <c r="C2340" s="627">
        <v>181354.2</v>
      </c>
      <c r="D2340" s="486">
        <v>200</v>
      </c>
      <c r="E2340" s="598">
        <v>253463.27</v>
      </c>
    </row>
    <row r="2341" spans="1:5" x14ac:dyDescent="0.2">
      <c r="A2341" s="344">
        <v>45575</v>
      </c>
      <c r="B2341" s="333">
        <f t="shared" si="46"/>
        <v>434984.12</v>
      </c>
      <c r="C2341" s="627">
        <v>181320.85</v>
      </c>
      <c r="D2341" s="486">
        <v>200</v>
      </c>
      <c r="E2341" s="598">
        <v>253463.27</v>
      </c>
    </row>
    <row r="2342" spans="1:5" x14ac:dyDescent="0.2">
      <c r="A2342" s="344">
        <v>45575</v>
      </c>
      <c r="B2342" s="333">
        <f t="shared" si="46"/>
        <v>433976.95999999996</v>
      </c>
      <c r="C2342" s="627">
        <v>180313.69</v>
      </c>
      <c r="D2342" s="486">
        <v>200</v>
      </c>
      <c r="E2342" s="598">
        <v>253463.27</v>
      </c>
    </row>
    <row r="2343" spans="1:5" x14ac:dyDescent="0.2">
      <c r="A2343" s="344">
        <v>45575</v>
      </c>
      <c r="B2343" s="333">
        <f t="shared" si="46"/>
        <v>433939.36</v>
      </c>
      <c r="C2343" s="627">
        <v>180276.09</v>
      </c>
      <c r="D2343" s="486">
        <v>200</v>
      </c>
      <c r="E2343" s="598">
        <v>253463.27</v>
      </c>
    </row>
    <row r="2344" spans="1:5" x14ac:dyDescent="0.2">
      <c r="A2344" s="344">
        <v>45575</v>
      </c>
      <c r="B2344" s="333">
        <f t="shared" si="46"/>
        <v>433911.55</v>
      </c>
      <c r="C2344" s="627">
        <v>180248.28</v>
      </c>
      <c r="D2344" s="486">
        <v>200</v>
      </c>
      <c r="E2344" s="598">
        <v>253463.27</v>
      </c>
    </row>
    <row r="2345" spans="1:5" x14ac:dyDescent="0.2">
      <c r="A2345" s="344">
        <v>45575</v>
      </c>
      <c r="B2345" s="333">
        <f t="shared" ref="B2345:B2408" si="48">C2345+D2345+E2345</f>
        <v>433881.4</v>
      </c>
      <c r="C2345" s="627">
        <v>180218.13</v>
      </c>
      <c r="D2345" s="486">
        <v>200</v>
      </c>
      <c r="E2345" s="598">
        <v>253463.27</v>
      </c>
    </row>
    <row r="2346" spans="1:5" x14ac:dyDescent="0.2">
      <c r="A2346" s="344">
        <v>45576</v>
      </c>
      <c r="B2346" s="333">
        <f t="shared" si="48"/>
        <v>442004.72</v>
      </c>
      <c r="C2346" s="627">
        <v>188341.45</v>
      </c>
      <c r="D2346" s="486">
        <v>200</v>
      </c>
      <c r="E2346" s="598">
        <v>253463.27</v>
      </c>
    </row>
    <row r="2347" spans="1:5" x14ac:dyDescent="0.2">
      <c r="A2347" s="344">
        <v>45576</v>
      </c>
      <c r="B2347" s="333">
        <f t="shared" si="48"/>
        <v>441653.69</v>
      </c>
      <c r="C2347" s="627">
        <v>187990.42</v>
      </c>
      <c r="D2347" s="486">
        <v>200</v>
      </c>
      <c r="E2347" s="598">
        <v>253463.27</v>
      </c>
    </row>
    <row r="2348" spans="1:5" x14ac:dyDescent="0.2">
      <c r="A2348" s="344">
        <v>45580</v>
      </c>
      <c r="B2348" s="333">
        <f t="shared" si="48"/>
        <v>441995.39</v>
      </c>
      <c r="C2348" s="627">
        <v>188332.12</v>
      </c>
      <c r="D2348" s="486">
        <v>200</v>
      </c>
      <c r="E2348" s="598">
        <v>253463.27</v>
      </c>
    </row>
    <row r="2349" spans="1:5" x14ac:dyDescent="0.2">
      <c r="A2349" s="344">
        <v>45580</v>
      </c>
      <c r="B2349" s="333">
        <f t="shared" si="48"/>
        <v>442012.12</v>
      </c>
      <c r="C2349" s="627">
        <v>188348.85</v>
      </c>
      <c r="D2349" s="486">
        <v>200</v>
      </c>
      <c r="E2349" s="598">
        <v>253463.27</v>
      </c>
    </row>
    <row r="2350" spans="1:5" x14ac:dyDescent="0.2">
      <c r="A2350" s="344">
        <v>45581</v>
      </c>
      <c r="B2350" s="333">
        <f t="shared" si="48"/>
        <v>442444.12</v>
      </c>
      <c r="C2350" s="627">
        <v>188780.85</v>
      </c>
      <c r="D2350" s="486">
        <v>200</v>
      </c>
      <c r="E2350" s="598">
        <v>253463.27</v>
      </c>
    </row>
    <row r="2351" spans="1:5" x14ac:dyDescent="0.2">
      <c r="A2351" s="344">
        <v>45581</v>
      </c>
      <c r="B2351" s="333">
        <f t="shared" si="48"/>
        <v>442106.93</v>
      </c>
      <c r="C2351" s="627">
        <v>188443.66</v>
      </c>
      <c r="D2351" s="486">
        <v>200</v>
      </c>
      <c r="E2351" s="598">
        <v>253463.27</v>
      </c>
    </row>
    <row r="2352" spans="1:5" x14ac:dyDescent="0.2">
      <c r="A2352" s="344">
        <v>45582</v>
      </c>
      <c r="B2352" s="333">
        <f t="shared" si="48"/>
        <v>442053.41000000003</v>
      </c>
      <c r="C2352" s="627">
        <v>188390.14</v>
      </c>
      <c r="D2352" s="486">
        <v>200</v>
      </c>
      <c r="E2352" s="598">
        <v>253463.27</v>
      </c>
    </row>
    <row r="2353" spans="1:5" x14ac:dyDescent="0.2">
      <c r="A2353" s="344">
        <v>45582</v>
      </c>
      <c r="B2353" s="333">
        <f t="shared" si="48"/>
        <v>441808.22</v>
      </c>
      <c r="C2353" s="627">
        <v>188144.95</v>
      </c>
      <c r="D2353" s="486">
        <v>200</v>
      </c>
      <c r="E2353" s="598">
        <v>253463.27</v>
      </c>
    </row>
    <row r="2354" spans="1:5" x14ac:dyDescent="0.2">
      <c r="A2354" s="344">
        <v>45582</v>
      </c>
      <c r="B2354" s="333">
        <f t="shared" si="48"/>
        <v>441600.22</v>
      </c>
      <c r="C2354" s="627">
        <v>187936.95</v>
      </c>
      <c r="D2354" s="486">
        <v>200</v>
      </c>
      <c r="E2354" s="598">
        <v>253463.27</v>
      </c>
    </row>
    <row r="2355" spans="1:5" x14ac:dyDescent="0.2">
      <c r="A2355" s="344">
        <v>45582</v>
      </c>
      <c r="B2355" s="333">
        <f t="shared" si="48"/>
        <v>441536.23</v>
      </c>
      <c r="C2355" s="627">
        <v>187872.96</v>
      </c>
      <c r="D2355" s="486">
        <v>200</v>
      </c>
      <c r="E2355" s="598">
        <v>253463.27</v>
      </c>
    </row>
    <row r="2356" spans="1:5" x14ac:dyDescent="0.2">
      <c r="A2356" s="344">
        <v>45582</v>
      </c>
      <c r="B2356" s="333">
        <f t="shared" si="48"/>
        <v>441515.98</v>
      </c>
      <c r="C2356" s="627">
        <v>187852.71</v>
      </c>
      <c r="D2356" s="486">
        <v>200</v>
      </c>
      <c r="E2356" s="598">
        <v>253463.27</v>
      </c>
    </row>
    <row r="2357" spans="1:5" x14ac:dyDescent="0.2">
      <c r="A2357" s="344">
        <v>45582</v>
      </c>
      <c r="B2357" s="333">
        <f t="shared" si="48"/>
        <v>441218.38</v>
      </c>
      <c r="C2357" s="627">
        <v>187555.11</v>
      </c>
      <c r="D2357" s="486">
        <v>200</v>
      </c>
      <c r="E2357" s="598">
        <v>253463.27</v>
      </c>
    </row>
    <row r="2358" spans="1:5" x14ac:dyDescent="0.2">
      <c r="A2358" s="344">
        <v>45582</v>
      </c>
      <c r="B2358" s="333">
        <f t="shared" si="48"/>
        <v>441155.38</v>
      </c>
      <c r="C2358" s="627">
        <v>187492.11</v>
      </c>
      <c r="D2358" s="486">
        <v>200</v>
      </c>
      <c r="E2358" s="598">
        <v>253463.27</v>
      </c>
    </row>
    <row r="2359" spans="1:5" x14ac:dyDescent="0.2">
      <c r="A2359" s="344">
        <v>45582</v>
      </c>
      <c r="B2359" s="333">
        <f t="shared" si="48"/>
        <v>441405.38</v>
      </c>
      <c r="C2359" s="627">
        <v>187742.11</v>
      </c>
      <c r="D2359" s="486">
        <v>200</v>
      </c>
      <c r="E2359" s="598">
        <v>253463.27</v>
      </c>
    </row>
    <row r="2360" spans="1:5" x14ac:dyDescent="0.2">
      <c r="A2360" s="344">
        <v>45583</v>
      </c>
      <c r="B2360" s="333">
        <f t="shared" si="48"/>
        <v>441338.61</v>
      </c>
      <c r="C2360" s="627">
        <v>187675.34</v>
      </c>
      <c r="D2360" s="486">
        <v>200</v>
      </c>
      <c r="E2360" s="598">
        <v>253463.27</v>
      </c>
    </row>
    <row r="2361" spans="1:5" x14ac:dyDescent="0.2">
      <c r="A2361" s="344">
        <v>45583</v>
      </c>
      <c r="B2361" s="333">
        <f t="shared" si="48"/>
        <v>440712.58999999997</v>
      </c>
      <c r="C2361" s="627">
        <v>187049.32</v>
      </c>
      <c r="D2361" s="486">
        <v>200</v>
      </c>
      <c r="E2361" s="598">
        <v>253463.27</v>
      </c>
    </row>
    <row r="2362" spans="1:5" x14ac:dyDescent="0.2">
      <c r="A2362" s="344">
        <v>45583</v>
      </c>
      <c r="B2362" s="333">
        <f t="shared" si="48"/>
        <v>440604.43</v>
      </c>
      <c r="C2362" s="627">
        <v>186941.16</v>
      </c>
      <c r="D2362" s="486">
        <v>200</v>
      </c>
      <c r="E2362" s="598">
        <v>253463.27</v>
      </c>
    </row>
    <row r="2363" spans="1:5" x14ac:dyDescent="0.2">
      <c r="A2363" s="344">
        <v>45583</v>
      </c>
      <c r="B2363" s="333">
        <f t="shared" si="48"/>
        <v>440499.44</v>
      </c>
      <c r="C2363" s="627">
        <v>186836.17</v>
      </c>
      <c r="D2363" s="486">
        <v>200</v>
      </c>
      <c r="E2363" s="598">
        <v>253463.27</v>
      </c>
    </row>
    <row r="2364" spans="1:5" x14ac:dyDescent="0.2">
      <c r="A2364" s="344">
        <v>45583</v>
      </c>
      <c r="B2364" s="333">
        <f t="shared" si="48"/>
        <v>440382.61</v>
      </c>
      <c r="C2364" s="627">
        <v>186719.34</v>
      </c>
      <c r="D2364" s="486">
        <v>200</v>
      </c>
      <c r="E2364" s="598">
        <v>253463.27</v>
      </c>
    </row>
    <row r="2365" spans="1:5" x14ac:dyDescent="0.2">
      <c r="A2365" s="344">
        <v>45583</v>
      </c>
      <c r="B2365" s="333">
        <f t="shared" si="48"/>
        <v>440019.70999999996</v>
      </c>
      <c r="C2365" s="627">
        <v>186356.44</v>
      </c>
      <c r="D2365" s="486">
        <v>200</v>
      </c>
      <c r="E2365" s="598">
        <v>253463.27</v>
      </c>
    </row>
    <row r="2366" spans="1:5" x14ac:dyDescent="0.2">
      <c r="A2366" s="344">
        <v>45583</v>
      </c>
      <c r="B2366" s="333">
        <f t="shared" si="48"/>
        <v>438652.63</v>
      </c>
      <c r="C2366" s="627">
        <v>184989.36</v>
      </c>
      <c r="D2366" s="486">
        <v>200</v>
      </c>
      <c r="E2366" s="598">
        <v>253463.27</v>
      </c>
    </row>
    <row r="2367" spans="1:5" x14ac:dyDescent="0.2">
      <c r="A2367" s="344">
        <v>45583</v>
      </c>
      <c r="B2367" s="333">
        <f>C2367+D2367+E2367</f>
        <v>463652.63</v>
      </c>
      <c r="C2367" s="627">
        <v>209989.36</v>
      </c>
      <c r="D2367" s="486">
        <v>200</v>
      </c>
      <c r="E2367" s="598">
        <v>253463.27</v>
      </c>
    </row>
    <row r="2368" spans="1:5" x14ac:dyDescent="0.2">
      <c r="A2368" s="344">
        <v>45583</v>
      </c>
      <c r="B2368" s="333">
        <f t="shared" si="48"/>
        <v>463822.63</v>
      </c>
      <c r="C2368" s="627">
        <v>210159.35999999999</v>
      </c>
      <c r="D2368" s="486">
        <v>200</v>
      </c>
      <c r="E2368" s="598">
        <v>253463.27</v>
      </c>
    </row>
    <row r="2369" spans="1:5" x14ac:dyDescent="0.2">
      <c r="A2369" s="344">
        <v>45583</v>
      </c>
      <c r="B2369" s="333">
        <f t="shared" si="48"/>
        <v>463822.63</v>
      </c>
      <c r="C2369" s="627">
        <v>210159.35999999999</v>
      </c>
      <c r="D2369" s="486">
        <v>200</v>
      </c>
      <c r="E2369" s="598">
        <v>253463.27</v>
      </c>
    </row>
    <row r="2370" spans="1:5" x14ac:dyDescent="0.2">
      <c r="A2370" s="344">
        <v>45586</v>
      </c>
      <c r="B2370" s="333">
        <f t="shared" si="48"/>
        <v>460904.74</v>
      </c>
      <c r="C2370" s="627">
        <v>207241.47</v>
      </c>
      <c r="D2370" s="486">
        <v>200</v>
      </c>
      <c r="E2370" s="598">
        <v>253463.27</v>
      </c>
    </row>
    <row r="2371" spans="1:5" x14ac:dyDescent="0.2">
      <c r="A2371" s="344">
        <v>45586</v>
      </c>
      <c r="B2371" s="333">
        <f t="shared" si="48"/>
        <v>460844.74</v>
      </c>
      <c r="C2371" s="627">
        <v>207181.47</v>
      </c>
      <c r="D2371" s="486">
        <v>200</v>
      </c>
      <c r="E2371" s="598">
        <v>253463.27</v>
      </c>
    </row>
    <row r="2372" spans="1:5" x14ac:dyDescent="0.2">
      <c r="A2372" s="344">
        <v>45587</v>
      </c>
      <c r="B2372" s="333">
        <f t="shared" si="48"/>
        <v>420383</v>
      </c>
      <c r="C2372" s="627">
        <v>166719.73000000001</v>
      </c>
      <c r="D2372" s="486">
        <v>200</v>
      </c>
      <c r="E2372" s="598">
        <v>253463.27</v>
      </c>
    </row>
    <row r="2373" spans="1:5" x14ac:dyDescent="0.2">
      <c r="A2373" s="344">
        <v>45589</v>
      </c>
      <c r="B2373" s="333">
        <f t="shared" si="48"/>
        <v>411651.03</v>
      </c>
      <c r="C2373" s="627">
        <v>157987.76</v>
      </c>
      <c r="D2373" s="486">
        <v>200</v>
      </c>
      <c r="E2373" s="598">
        <v>253463.27</v>
      </c>
    </row>
    <row r="2374" spans="1:5" x14ac:dyDescent="0.2">
      <c r="A2374" s="344">
        <v>45589</v>
      </c>
      <c r="B2374" s="333">
        <f t="shared" si="48"/>
        <v>411443.03</v>
      </c>
      <c r="C2374" s="627">
        <v>157779.76</v>
      </c>
      <c r="D2374" s="486">
        <v>200</v>
      </c>
      <c r="E2374" s="598">
        <v>253463.27</v>
      </c>
    </row>
    <row r="2375" spans="1:5" x14ac:dyDescent="0.2">
      <c r="A2375" s="344">
        <v>45589</v>
      </c>
      <c r="B2375" s="333">
        <f t="shared" si="48"/>
        <v>410990.05</v>
      </c>
      <c r="C2375" s="627">
        <v>157326.78</v>
      </c>
      <c r="D2375" s="486">
        <v>200</v>
      </c>
      <c r="E2375" s="598">
        <v>253463.27</v>
      </c>
    </row>
    <row r="2376" spans="1:5" x14ac:dyDescent="0.2">
      <c r="A2376" s="344">
        <v>45589</v>
      </c>
      <c r="B2376" s="333">
        <f t="shared" si="48"/>
        <v>409211.81</v>
      </c>
      <c r="C2376" s="627">
        <v>155548.54</v>
      </c>
      <c r="D2376" s="486">
        <v>200</v>
      </c>
      <c r="E2376" s="598">
        <v>253463.27</v>
      </c>
    </row>
    <row r="2377" spans="1:5" x14ac:dyDescent="0.2">
      <c r="A2377" s="344">
        <v>45589</v>
      </c>
      <c r="B2377" s="333">
        <f t="shared" si="48"/>
        <v>408634.55</v>
      </c>
      <c r="C2377" s="627">
        <v>154971.28</v>
      </c>
      <c r="D2377" s="486">
        <v>200</v>
      </c>
      <c r="E2377" s="598">
        <v>253463.27</v>
      </c>
    </row>
    <row r="2378" spans="1:5" x14ac:dyDescent="0.2">
      <c r="A2378" s="344">
        <v>45589</v>
      </c>
      <c r="B2378" s="333">
        <f t="shared" si="48"/>
        <v>407397.53</v>
      </c>
      <c r="C2378" s="627">
        <v>153734.26</v>
      </c>
      <c r="D2378" s="486">
        <v>200</v>
      </c>
      <c r="E2378" s="598">
        <v>253463.27</v>
      </c>
    </row>
    <row r="2379" spans="1:5" x14ac:dyDescent="0.2">
      <c r="A2379" s="344">
        <v>45589</v>
      </c>
      <c r="B2379" s="333">
        <f t="shared" si="48"/>
        <v>407381.53</v>
      </c>
      <c r="C2379" s="627">
        <v>153718.26</v>
      </c>
      <c r="D2379" s="486">
        <v>200</v>
      </c>
      <c r="E2379" s="598">
        <v>253463.27</v>
      </c>
    </row>
    <row r="2380" spans="1:5" x14ac:dyDescent="0.2">
      <c r="A2380" s="344">
        <v>45589</v>
      </c>
      <c r="B2380" s="333">
        <f t="shared" si="48"/>
        <v>407360.53</v>
      </c>
      <c r="C2380" s="627">
        <v>153697.26</v>
      </c>
      <c r="D2380" s="486">
        <v>200</v>
      </c>
      <c r="E2380" s="598">
        <v>253463.27</v>
      </c>
    </row>
    <row r="2381" spans="1:5" x14ac:dyDescent="0.2">
      <c r="A2381" s="344">
        <v>45589</v>
      </c>
      <c r="B2381" s="333">
        <f t="shared" si="48"/>
        <v>407609.53</v>
      </c>
      <c r="C2381" s="627">
        <v>153946.26</v>
      </c>
      <c r="D2381" s="486">
        <v>200</v>
      </c>
      <c r="E2381" s="598">
        <v>253463.27</v>
      </c>
    </row>
    <row r="2382" spans="1:5" x14ac:dyDescent="0.2">
      <c r="A2382" s="344">
        <v>45589</v>
      </c>
      <c r="B2382" s="333">
        <f t="shared" si="48"/>
        <v>422598.70999999996</v>
      </c>
      <c r="C2382" s="627">
        <v>168935.44</v>
      </c>
      <c r="D2382" s="486">
        <v>200</v>
      </c>
      <c r="E2382" s="598">
        <v>253463.27</v>
      </c>
    </row>
    <row r="2383" spans="1:5" x14ac:dyDescent="0.2">
      <c r="A2383" s="344">
        <v>45589</v>
      </c>
      <c r="B2383" s="333">
        <f t="shared" si="48"/>
        <v>423159.28</v>
      </c>
      <c r="C2383" s="627">
        <v>169496.01</v>
      </c>
      <c r="D2383" s="486">
        <v>200</v>
      </c>
      <c r="E2383" s="598">
        <v>253463.27</v>
      </c>
    </row>
    <row r="2384" spans="1:5" x14ac:dyDescent="0.2">
      <c r="A2384" s="344">
        <v>45589</v>
      </c>
      <c r="B2384" s="333">
        <f t="shared" si="48"/>
        <v>423101.28</v>
      </c>
      <c r="C2384" s="627">
        <v>169438.01</v>
      </c>
      <c r="D2384" s="486">
        <v>200</v>
      </c>
      <c r="E2384" s="598">
        <v>253463.27</v>
      </c>
    </row>
    <row r="2385" spans="1:8" x14ac:dyDescent="0.2">
      <c r="A2385" s="344">
        <v>45590</v>
      </c>
      <c r="B2385" s="333">
        <f t="shared" si="48"/>
        <v>422750.25</v>
      </c>
      <c r="C2385" s="627">
        <v>169086.98</v>
      </c>
      <c r="D2385" s="486">
        <v>200</v>
      </c>
      <c r="E2385" s="598">
        <v>253463.27</v>
      </c>
    </row>
    <row r="2386" spans="1:8" x14ac:dyDescent="0.2">
      <c r="A2386" s="344">
        <v>45593</v>
      </c>
      <c r="B2386" s="333">
        <f t="shared" si="48"/>
        <v>422363.36</v>
      </c>
      <c r="C2386" s="627">
        <v>168700.09</v>
      </c>
      <c r="D2386" s="486">
        <v>200</v>
      </c>
      <c r="E2386" s="598">
        <v>253463.27</v>
      </c>
    </row>
    <row r="2387" spans="1:8" x14ac:dyDescent="0.2">
      <c r="A2387" s="344">
        <v>45593</v>
      </c>
      <c r="B2387" s="333">
        <f t="shared" si="48"/>
        <v>422332.49</v>
      </c>
      <c r="C2387" s="627">
        <v>168669.22</v>
      </c>
      <c r="D2387" s="486">
        <v>200</v>
      </c>
      <c r="E2387" s="598">
        <v>253463.27</v>
      </c>
    </row>
    <row r="2388" spans="1:8" x14ac:dyDescent="0.2">
      <c r="A2388" s="344">
        <v>45594</v>
      </c>
      <c r="B2388" s="333">
        <f t="shared" si="48"/>
        <v>426353.55</v>
      </c>
      <c r="C2388" s="627">
        <v>172690.28</v>
      </c>
      <c r="D2388" s="486">
        <v>200</v>
      </c>
      <c r="E2388" s="598">
        <v>253463.27</v>
      </c>
    </row>
    <row r="2389" spans="1:8" x14ac:dyDescent="0.2">
      <c r="A2389" s="344">
        <v>45594</v>
      </c>
      <c r="B2389" s="333">
        <f t="shared" si="48"/>
        <v>426927.55</v>
      </c>
      <c r="C2389" s="627">
        <v>173264.28</v>
      </c>
      <c r="D2389" s="486">
        <v>200</v>
      </c>
      <c r="E2389" s="598">
        <v>253463.27</v>
      </c>
    </row>
    <row r="2390" spans="1:8" x14ac:dyDescent="0.2">
      <c r="A2390" s="344">
        <f>A2389+1</f>
        <v>45595</v>
      </c>
      <c r="B2390" s="333">
        <f t="shared" si="48"/>
        <v>426927.55</v>
      </c>
      <c r="C2390" s="627">
        <v>173264.28</v>
      </c>
      <c r="D2390" s="486">
        <v>200</v>
      </c>
      <c r="E2390" s="598">
        <v>253463.27</v>
      </c>
    </row>
    <row r="2391" spans="1:8" x14ac:dyDescent="0.2">
      <c r="A2391" s="344">
        <f>A2390+1</f>
        <v>45596</v>
      </c>
      <c r="B2391" s="333">
        <f t="shared" si="48"/>
        <v>427753.16000000003</v>
      </c>
      <c r="C2391" s="627">
        <v>173264.28</v>
      </c>
      <c r="D2391" s="486">
        <v>200</v>
      </c>
      <c r="E2391" s="598">
        <v>254288.88</v>
      </c>
    </row>
    <row r="2392" spans="1:8" x14ac:dyDescent="0.2">
      <c r="A2392" s="344">
        <v>45597</v>
      </c>
      <c r="B2392" s="333">
        <f t="shared" si="48"/>
        <v>426032.37</v>
      </c>
      <c r="C2392" s="627">
        <v>171543.49</v>
      </c>
      <c r="D2392" s="486">
        <v>200</v>
      </c>
      <c r="E2392" s="598">
        <v>254288.88</v>
      </c>
    </row>
    <row r="2393" spans="1:8" x14ac:dyDescent="0.2">
      <c r="A2393" s="344">
        <v>45601</v>
      </c>
      <c r="B2393" s="333">
        <f t="shared" si="48"/>
        <v>434744.04000000004</v>
      </c>
      <c r="C2393" s="627">
        <v>180255.16</v>
      </c>
      <c r="D2393" s="486">
        <v>200</v>
      </c>
      <c r="E2393" s="598">
        <v>254288.88</v>
      </c>
    </row>
    <row r="2394" spans="1:8" x14ac:dyDescent="0.2">
      <c r="A2394" s="344">
        <v>45601</v>
      </c>
      <c r="B2394" s="333">
        <f t="shared" si="48"/>
        <v>392415.65</v>
      </c>
      <c r="C2394" s="627">
        <v>137926.76999999999</v>
      </c>
      <c r="D2394" s="486">
        <v>200</v>
      </c>
      <c r="E2394" s="598">
        <v>254288.88</v>
      </c>
    </row>
    <row r="2395" spans="1:8" x14ac:dyDescent="0.2">
      <c r="A2395" s="344">
        <v>45602</v>
      </c>
      <c r="B2395" s="333">
        <f t="shared" si="48"/>
        <v>392392.65</v>
      </c>
      <c r="C2395" s="627">
        <v>137903.76999999999</v>
      </c>
      <c r="D2395" s="486">
        <v>200</v>
      </c>
      <c r="E2395" s="598">
        <v>254288.88</v>
      </c>
    </row>
    <row r="2396" spans="1:8" x14ac:dyDescent="0.2">
      <c r="A2396" s="344">
        <v>45603</v>
      </c>
      <c r="B2396" s="333">
        <f t="shared" si="48"/>
        <v>392281.77</v>
      </c>
      <c r="C2396" s="627">
        <v>137792.89000000001</v>
      </c>
      <c r="D2396" s="486">
        <v>200</v>
      </c>
      <c r="E2396" s="598">
        <v>254288.88</v>
      </c>
      <c r="G2396" s="349" t="s">
        <v>601</v>
      </c>
      <c r="H2396" s="333">
        <f>AVERAGE(B2105:B2391)</f>
        <v>503956.1364808369</v>
      </c>
    </row>
    <row r="2397" spans="1:8" x14ac:dyDescent="0.2">
      <c r="A2397" s="344">
        <v>45603</v>
      </c>
      <c r="B2397" s="333">
        <f t="shared" si="48"/>
        <v>392073.77</v>
      </c>
      <c r="C2397" s="627">
        <v>137584.89000000001</v>
      </c>
      <c r="D2397" s="486">
        <v>200</v>
      </c>
      <c r="E2397" s="598">
        <v>254288.88</v>
      </c>
    </row>
    <row r="2398" spans="1:8" x14ac:dyDescent="0.2">
      <c r="A2398" s="344">
        <v>45603</v>
      </c>
      <c r="B2398" s="333">
        <f t="shared" si="48"/>
        <v>391781.77</v>
      </c>
      <c r="C2398" s="627">
        <v>137292.89000000001</v>
      </c>
      <c r="D2398" s="486">
        <v>200</v>
      </c>
      <c r="E2398" s="598">
        <v>254288.88</v>
      </c>
    </row>
    <row r="2399" spans="1:8" x14ac:dyDescent="0.2">
      <c r="A2399" s="344">
        <v>45603</v>
      </c>
      <c r="B2399" s="333">
        <f t="shared" si="48"/>
        <v>391706.76</v>
      </c>
      <c r="C2399" s="627">
        <v>137217.88</v>
      </c>
      <c r="D2399" s="486">
        <v>200</v>
      </c>
      <c r="E2399" s="598">
        <v>254288.88</v>
      </c>
    </row>
    <row r="2400" spans="1:8" x14ac:dyDescent="0.2">
      <c r="A2400" s="344">
        <v>45603</v>
      </c>
      <c r="B2400" s="333">
        <f t="shared" si="48"/>
        <v>391418.27</v>
      </c>
      <c r="C2400" s="627">
        <v>136929.39000000001</v>
      </c>
      <c r="D2400" s="486">
        <v>200</v>
      </c>
      <c r="E2400" s="598">
        <v>254288.88</v>
      </c>
    </row>
    <row r="2401" spans="1:5" x14ac:dyDescent="0.2">
      <c r="A2401" s="344">
        <v>45603</v>
      </c>
      <c r="B2401" s="333">
        <f t="shared" si="48"/>
        <v>391123.27</v>
      </c>
      <c r="C2401" s="627">
        <v>136634.39000000001</v>
      </c>
      <c r="D2401" s="486">
        <v>200</v>
      </c>
      <c r="E2401" s="598">
        <v>254288.88</v>
      </c>
    </row>
    <row r="2402" spans="1:5" x14ac:dyDescent="0.2">
      <c r="A2402" s="344">
        <v>45603</v>
      </c>
      <c r="B2402" s="333">
        <f t="shared" si="48"/>
        <v>391105.62</v>
      </c>
      <c r="C2402" s="627">
        <v>136616.74</v>
      </c>
      <c r="D2402" s="486">
        <v>200</v>
      </c>
      <c r="E2402" s="598">
        <v>254288.88</v>
      </c>
    </row>
    <row r="2403" spans="1:5" x14ac:dyDescent="0.2">
      <c r="A2403" s="344">
        <v>45603</v>
      </c>
      <c r="B2403" s="333">
        <f t="shared" si="48"/>
        <v>390992.18</v>
      </c>
      <c r="C2403" s="627">
        <v>136503.29999999999</v>
      </c>
      <c r="D2403" s="486">
        <v>200</v>
      </c>
      <c r="E2403" s="598">
        <v>254288.88</v>
      </c>
    </row>
    <row r="2404" spans="1:5" x14ac:dyDescent="0.2">
      <c r="A2404" s="344">
        <v>45603</v>
      </c>
      <c r="B2404" s="333">
        <f t="shared" si="48"/>
        <v>390902.67000000004</v>
      </c>
      <c r="C2404" s="627">
        <v>136413.79</v>
      </c>
      <c r="D2404" s="486">
        <v>200</v>
      </c>
      <c r="E2404" s="598">
        <v>254288.88</v>
      </c>
    </row>
    <row r="2405" spans="1:5" x14ac:dyDescent="0.2">
      <c r="A2405" s="344">
        <v>45603</v>
      </c>
      <c r="B2405" s="333">
        <f t="shared" si="48"/>
        <v>390473.13</v>
      </c>
      <c r="C2405" s="627">
        <v>135984.25</v>
      </c>
      <c r="D2405" s="486">
        <v>200</v>
      </c>
      <c r="E2405" s="598">
        <v>254288.88</v>
      </c>
    </row>
    <row r="2406" spans="1:5" x14ac:dyDescent="0.2">
      <c r="A2406" s="344">
        <v>45603</v>
      </c>
      <c r="B2406" s="333">
        <f t="shared" si="48"/>
        <v>390145.12</v>
      </c>
      <c r="C2406" s="627">
        <v>135656.24</v>
      </c>
      <c r="D2406" s="486">
        <v>200</v>
      </c>
      <c r="E2406" s="598">
        <v>254288.88</v>
      </c>
    </row>
    <row r="2407" spans="1:5" x14ac:dyDescent="0.2">
      <c r="A2407" s="344">
        <v>45603</v>
      </c>
      <c r="B2407" s="333">
        <f t="shared" si="48"/>
        <v>390090.51</v>
      </c>
      <c r="C2407" s="627">
        <v>135601.63</v>
      </c>
      <c r="D2407" s="486">
        <v>200</v>
      </c>
      <c r="E2407" s="598">
        <v>254288.88</v>
      </c>
    </row>
    <row r="2408" spans="1:5" x14ac:dyDescent="0.2">
      <c r="A2408" s="344">
        <v>45603</v>
      </c>
      <c r="B2408" s="333">
        <f t="shared" si="48"/>
        <v>389964.76</v>
      </c>
      <c r="C2408" s="627">
        <v>135475.88</v>
      </c>
      <c r="D2408" s="486">
        <v>200</v>
      </c>
      <c r="E2408" s="598">
        <v>254288.88</v>
      </c>
    </row>
    <row r="2409" spans="1:5" x14ac:dyDescent="0.2">
      <c r="A2409" s="344">
        <v>45603</v>
      </c>
      <c r="B2409" s="333">
        <f t="shared" ref="B2409:B2472" si="49">C2409+D2409+E2409</f>
        <v>389830.80000000005</v>
      </c>
      <c r="C2409" s="627">
        <v>135341.92000000001</v>
      </c>
      <c r="D2409" s="486">
        <v>200</v>
      </c>
      <c r="E2409" s="598">
        <v>254288.88</v>
      </c>
    </row>
    <row r="2410" spans="1:5" x14ac:dyDescent="0.2">
      <c r="A2410" s="344">
        <v>45603</v>
      </c>
      <c r="B2410" s="333">
        <f t="shared" si="49"/>
        <v>389217.19</v>
      </c>
      <c r="C2410" s="627">
        <v>134728.31</v>
      </c>
      <c r="D2410" s="486">
        <v>200</v>
      </c>
      <c r="E2410" s="598">
        <v>254288.88</v>
      </c>
    </row>
    <row r="2411" spans="1:5" x14ac:dyDescent="0.2">
      <c r="A2411" s="344">
        <v>45603</v>
      </c>
      <c r="B2411" s="333">
        <f t="shared" si="49"/>
        <v>386663.1</v>
      </c>
      <c r="C2411" s="627">
        <v>132174.22</v>
      </c>
      <c r="D2411" s="486">
        <v>200</v>
      </c>
      <c r="E2411" s="598">
        <v>254288.88</v>
      </c>
    </row>
    <row r="2412" spans="1:5" x14ac:dyDescent="0.2">
      <c r="A2412" s="344">
        <v>45603</v>
      </c>
      <c r="B2412" s="333">
        <f t="shared" si="49"/>
        <v>386554.56</v>
      </c>
      <c r="C2412" s="627">
        <v>132065.68</v>
      </c>
      <c r="D2412" s="486">
        <v>200</v>
      </c>
      <c r="E2412" s="598">
        <v>254288.88</v>
      </c>
    </row>
    <row r="2413" spans="1:5" x14ac:dyDescent="0.2">
      <c r="A2413" s="344">
        <v>45603</v>
      </c>
      <c r="B2413" s="333">
        <f t="shared" si="49"/>
        <v>386788.56</v>
      </c>
      <c r="C2413" s="627">
        <v>132299.68</v>
      </c>
      <c r="D2413" s="486">
        <v>200</v>
      </c>
      <c r="E2413" s="598">
        <v>254288.88</v>
      </c>
    </row>
    <row r="2414" spans="1:5" x14ac:dyDescent="0.2">
      <c r="A2414" s="344">
        <v>45603</v>
      </c>
      <c r="B2414" s="333">
        <f t="shared" si="49"/>
        <v>386168.47</v>
      </c>
      <c r="C2414" s="627">
        <v>131679.59</v>
      </c>
      <c r="D2414" s="486">
        <v>200</v>
      </c>
      <c r="E2414" s="598">
        <v>254288.88</v>
      </c>
    </row>
    <row r="2415" spans="1:5" x14ac:dyDescent="0.2">
      <c r="A2415" s="344">
        <v>45604</v>
      </c>
      <c r="B2415" s="333">
        <f t="shared" si="49"/>
        <v>385817.44</v>
      </c>
      <c r="C2415" s="627">
        <v>131328.56</v>
      </c>
      <c r="D2415" s="486">
        <v>200</v>
      </c>
      <c r="E2415" s="598">
        <v>254288.88</v>
      </c>
    </row>
    <row r="2416" spans="1:5" x14ac:dyDescent="0.2">
      <c r="A2416" s="344">
        <v>45604</v>
      </c>
      <c r="B2416" s="333">
        <f t="shared" si="49"/>
        <v>388587.64</v>
      </c>
      <c r="C2416" s="627">
        <v>134098.76</v>
      </c>
      <c r="D2416" s="486">
        <v>200</v>
      </c>
      <c r="E2416" s="598">
        <v>254288.88</v>
      </c>
    </row>
    <row r="2417" spans="1:5" x14ac:dyDescent="0.2">
      <c r="A2417" s="344">
        <v>45608</v>
      </c>
      <c r="B2417" s="333">
        <f t="shared" si="49"/>
        <v>383945.64</v>
      </c>
      <c r="C2417" s="627">
        <v>129456.76</v>
      </c>
      <c r="D2417" s="486">
        <v>200</v>
      </c>
      <c r="E2417" s="598">
        <v>254288.88</v>
      </c>
    </row>
    <row r="2418" spans="1:5" x14ac:dyDescent="0.2">
      <c r="A2418" s="344">
        <v>45608</v>
      </c>
      <c r="B2418" s="333">
        <f t="shared" si="49"/>
        <v>384003.42</v>
      </c>
      <c r="C2418" s="627">
        <v>129514.54</v>
      </c>
      <c r="D2418" s="486">
        <v>200</v>
      </c>
      <c r="E2418" s="598">
        <v>254288.88</v>
      </c>
    </row>
    <row r="2419" spans="1:5" x14ac:dyDescent="0.2">
      <c r="A2419" s="344">
        <v>45608</v>
      </c>
      <c r="B2419" s="333">
        <f t="shared" si="49"/>
        <v>383718.68</v>
      </c>
      <c r="C2419" s="627">
        <v>129229.8</v>
      </c>
      <c r="D2419" s="486">
        <v>200</v>
      </c>
      <c r="E2419" s="598">
        <v>254288.88</v>
      </c>
    </row>
    <row r="2420" spans="1:5" x14ac:dyDescent="0.2">
      <c r="A2420" s="344">
        <v>45610</v>
      </c>
      <c r="B2420" s="333">
        <f t="shared" si="49"/>
        <v>383665.16000000003</v>
      </c>
      <c r="C2420" s="627">
        <v>129176.28</v>
      </c>
      <c r="D2420" s="486">
        <v>200</v>
      </c>
      <c r="E2420" s="598">
        <v>254288.88</v>
      </c>
    </row>
    <row r="2421" spans="1:5" x14ac:dyDescent="0.2">
      <c r="A2421" s="344">
        <v>45610</v>
      </c>
      <c r="B2421" s="333">
        <f t="shared" si="49"/>
        <v>383138.28</v>
      </c>
      <c r="C2421" s="627">
        <v>128649.4</v>
      </c>
      <c r="D2421" s="486">
        <v>200</v>
      </c>
      <c r="E2421" s="598">
        <v>254288.88</v>
      </c>
    </row>
    <row r="2422" spans="1:5" x14ac:dyDescent="0.2">
      <c r="A2422" s="344">
        <v>45610</v>
      </c>
      <c r="B2422" s="333">
        <f t="shared" si="49"/>
        <v>383074.28</v>
      </c>
      <c r="C2422" s="627">
        <v>128585.4</v>
      </c>
      <c r="D2422" s="486">
        <v>200</v>
      </c>
      <c r="E2422" s="598">
        <v>254288.88</v>
      </c>
    </row>
    <row r="2423" spans="1:5" x14ac:dyDescent="0.2">
      <c r="A2423" s="344">
        <v>45610</v>
      </c>
      <c r="B2423" s="333">
        <f t="shared" si="49"/>
        <v>382999.29000000004</v>
      </c>
      <c r="C2423" s="627">
        <v>128510.41</v>
      </c>
      <c r="D2423" s="486">
        <v>200</v>
      </c>
      <c r="E2423" s="598">
        <v>254288.88</v>
      </c>
    </row>
    <row r="2424" spans="1:5" x14ac:dyDescent="0.2">
      <c r="A2424" s="344">
        <v>45610</v>
      </c>
      <c r="B2424" s="333">
        <f t="shared" si="49"/>
        <v>382965.45</v>
      </c>
      <c r="C2424" s="627">
        <v>128476.57</v>
      </c>
      <c r="D2424" s="486">
        <v>200</v>
      </c>
      <c r="E2424" s="598">
        <v>254288.88</v>
      </c>
    </row>
    <row r="2425" spans="1:5" x14ac:dyDescent="0.2">
      <c r="A2425" s="344">
        <v>45610</v>
      </c>
      <c r="B2425" s="333">
        <f t="shared" si="49"/>
        <v>382960.85</v>
      </c>
      <c r="C2425" s="627">
        <v>128471.97</v>
      </c>
      <c r="D2425" s="486">
        <v>200</v>
      </c>
      <c r="E2425" s="598">
        <v>254288.88</v>
      </c>
    </row>
    <row r="2426" spans="1:5" x14ac:dyDescent="0.2">
      <c r="A2426" s="344">
        <v>45610</v>
      </c>
      <c r="B2426" s="333">
        <f t="shared" si="49"/>
        <v>382687.15</v>
      </c>
      <c r="C2426" s="627">
        <v>128198.27</v>
      </c>
      <c r="D2426" s="486">
        <v>200</v>
      </c>
      <c r="E2426" s="598">
        <v>254288.88</v>
      </c>
    </row>
    <row r="2427" spans="1:5" x14ac:dyDescent="0.2">
      <c r="A2427" s="344">
        <v>45610</v>
      </c>
      <c r="B2427" s="333">
        <f t="shared" si="49"/>
        <v>382187.15</v>
      </c>
      <c r="C2427" s="627">
        <v>127698.27</v>
      </c>
      <c r="D2427" s="486">
        <v>200</v>
      </c>
      <c r="E2427" s="598">
        <v>254288.88</v>
      </c>
    </row>
    <row r="2428" spans="1:5" x14ac:dyDescent="0.2">
      <c r="A2428" s="344">
        <v>45610</v>
      </c>
      <c r="B2428" s="333">
        <f t="shared" si="49"/>
        <v>382473.15</v>
      </c>
      <c r="C2428" s="627">
        <v>127984.27</v>
      </c>
      <c r="D2428" s="486">
        <v>200</v>
      </c>
      <c r="E2428" s="598">
        <v>254288.88</v>
      </c>
    </row>
    <row r="2429" spans="1:5" x14ac:dyDescent="0.2">
      <c r="A2429" s="344">
        <v>45610</v>
      </c>
      <c r="B2429" s="333">
        <f t="shared" si="49"/>
        <v>382473.15</v>
      </c>
      <c r="C2429" s="627">
        <v>127984.27</v>
      </c>
      <c r="D2429" s="486">
        <v>200</v>
      </c>
      <c r="E2429" s="598">
        <v>254288.88</v>
      </c>
    </row>
    <row r="2430" spans="1:5" x14ac:dyDescent="0.2">
      <c r="A2430" s="344">
        <v>45611</v>
      </c>
      <c r="B2430" s="333">
        <f t="shared" si="49"/>
        <v>382476.65</v>
      </c>
      <c r="C2430" s="627">
        <v>127987.77</v>
      </c>
      <c r="D2430" s="486">
        <v>200</v>
      </c>
      <c r="E2430" s="598">
        <v>254288.88</v>
      </c>
    </row>
    <row r="2431" spans="1:5" x14ac:dyDescent="0.2">
      <c r="A2431" s="344">
        <v>45611</v>
      </c>
      <c r="B2431" s="333">
        <f t="shared" si="49"/>
        <v>382018.3</v>
      </c>
      <c r="C2431" s="627">
        <v>127529.42</v>
      </c>
      <c r="D2431" s="486">
        <v>200</v>
      </c>
      <c r="E2431" s="598">
        <v>254288.88</v>
      </c>
    </row>
    <row r="2432" spans="1:5" x14ac:dyDescent="0.2">
      <c r="A2432" s="344">
        <v>45611</v>
      </c>
      <c r="B2432" s="333">
        <f t="shared" si="49"/>
        <v>385270.54000000004</v>
      </c>
      <c r="C2432" s="627">
        <v>130781.66</v>
      </c>
      <c r="D2432" s="486">
        <v>200</v>
      </c>
      <c r="E2432" s="598">
        <v>254288.88</v>
      </c>
    </row>
    <row r="2433" spans="1:5" x14ac:dyDescent="0.2">
      <c r="A2433" s="344">
        <v>45611</v>
      </c>
      <c r="B2433" s="333">
        <f t="shared" si="49"/>
        <v>385286.02</v>
      </c>
      <c r="C2433" s="627">
        <v>130797.14</v>
      </c>
      <c r="D2433" s="486">
        <v>200</v>
      </c>
      <c r="E2433" s="598">
        <v>254288.88</v>
      </c>
    </row>
    <row r="2434" spans="1:5" x14ac:dyDescent="0.2">
      <c r="A2434" s="344">
        <v>45615</v>
      </c>
      <c r="B2434" s="333">
        <f t="shared" si="49"/>
        <v>384920.04000000004</v>
      </c>
      <c r="C2434" s="627">
        <v>130431.16</v>
      </c>
      <c r="D2434" s="486">
        <v>200</v>
      </c>
      <c r="E2434" s="598">
        <v>254288.88</v>
      </c>
    </row>
    <row r="2435" spans="1:5" x14ac:dyDescent="0.2">
      <c r="A2435" s="344">
        <v>45615</v>
      </c>
      <c r="B2435" s="333">
        <f t="shared" si="49"/>
        <v>343105.26</v>
      </c>
      <c r="C2435" s="627">
        <v>88616.38</v>
      </c>
      <c r="D2435" s="486">
        <v>200</v>
      </c>
      <c r="E2435" s="598">
        <v>254288.88</v>
      </c>
    </row>
    <row r="2436" spans="1:5" x14ac:dyDescent="0.2">
      <c r="A2436" s="344">
        <v>45616</v>
      </c>
      <c r="B2436" s="333">
        <f t="shared" si="49"/>
        <v>340105.37</v>
      </c>
      <c r="C2436" s="627">
        <v>85616.49</v>
      </c>
      <c r="D2436" s="486">
        <v>200</v>
      </c>
      <c r="E2436" s="598">
        <v>254288.88</v>
      </c>
    </row>
    <row r="2437" spans="1:5" x14ac:dyDescent="0.2">
      <c r="A2437" s="344">
        <v>45616</v>
      </c>
      <c r="B2437" s="333">
        <f t="shared" si="49"/>
        <v>335468.29000000004</v>
      </c>
      <c r="C2437" s="627">
        <v>80979.41</v>
      </c>
      <c r="D2437" s="486">
        <v>200</v>
      </c>
      <c r="E2437" s="598">
        <v>254288.88</v>
      </c>
    </row>
    <row r="2438" spans="1:5" x14ac:dyDescent="0.2">
      <c r="A2438" s="344">
        <v>45616</v>
      </c>
      <c r="B2438" s="333">
        <f t="shared" si="49"/>
        <v>335433.94</v>
      </c>
      <c r="C2438" s="627">
        <v>80945.06</v>
      </c>
      <c r="D2438" s="486">
        <v>200</v>
      </c>
      <c r="E2438" s="598">
        <v>254288.88</v>
      </c>
    </row>
    <row r="2439" spans="1:5" x14ac:dyDescent="0.2">
      <c r="A2439" s="344">
        <v>45616</v>
      </c>
      <c r="B2439" s="333">
        <f t="shared" si="49"/>
        <v>335225.94</v>
      </c>
      <c r="C2439" s="627">
        <v>80737.06</v>
      </c>
      <c r="D2439" s="486">
        <v>200</v>
      </c>
      <c r="E2439" s="598">
        <v>254288.88</v>
      </c>
    </row>
    <row r="2440" spans="1:5" x14ac:dyDescent="0.2">
      <c r="A2440" s="344">
        <v>45616</v>
      </c>
      <c r="B2440" s="333">
        <f t="shared" si="49"/>
        <v>333447.7</v>
      </c>
      <c r="C2440" s="627">
        <v>78958.820000000007</v>
      </c>
      <c r="D2440" s="486">
        <v>200</v>
      </c>
      <c r="E2440" s="598">
        <v>254288.88</v>
      </c>
    </row>
    <row r="2441" spans="1:5" x14ac:dyDescent="0.2">
      <c r="A2441" s="344">
        <v>45616</v>
      </c>
      <c r="B2441" s="333">
        <f t="shared" si="49"/>
        <v>333350.23</v>
      </c>
      <c r="C2441" s="627">
        <v>78861.350000000006</v>
      </c>
      <c r="D2441" s="486">
        <v>200</v>
      </c>
      <c r="E2441" s="598">
        <v>254288.88</v>
      </c>
    </row>
    <row r="2442" spans="1:5" x14ac:dyDescent="0.2">
      <c r="A2442" s="344">
        <v>45616</v>
      </c>
      <c r="B2442" s="333">
        <f t="shared" si="49"/>
        <v>333173.24</v>
      </c>
      <c r="C2442" s="627">
        <v>78684.36</v>
      </c>
      <c r="D2442" s="486">
        <v>200</v>
      </c>
      <c r="E2442" s="598">
        <v>254288.88</v>
      </c>
    </row>
    <row r="2443" spans="1:5" x14ac:dyDescent="0.2">
      <c r="A2443" s="344">
        <v>45616</v>
      </c>
      <c r="B2443" s="333">
        <f t="shared" si="49"/>
        <v>332837.56</v>
      </c>
      <c r="C2443" s="627">
        <v>78348.679999999993</v>
      </c>
      <c r="D2443" s="486">
        <v>200</v>
      </c>
      <c r="E2443" s="598">
        <v>254288.88</v>
      </c>
    </row>
    <row r="2444" spans="1:5" x14ac:dyDescent="0.2">
      <c r="A2444" s="344">
        <v>45616</v>
      </c>
      <c r="B2444" s="333">
        <f t="shared" si="49"/>
        <v>332720.73</v>
      </c>
      <c r="C2444" s="627">
        <v>78231.850000000006</v>
      </c>
      <c r="D2444" s="486">
        <v>200</v>
      </c>
      <c r="E2444" s="598">
        <v>254288.88</v>
      </c>
    </row>
    <row r="2445" spans="1:5" x14ac:dyDescent="0.2">
      <c r="A2445" s="344">
        <v>45616</v>
      </c>
      <c r="B2445" s="333">
        <f t="shared" si="49"/>
        <v>331623.23</v>
      </c>
      <c r="C2445" s="627">
        <v>77134.350000000006</v>
      </c>
      <c r="D2445" s="486">
        <v>200</v>
      </c>
      <c r="E2445" s="598">
        <v>254288.88</v>
      </c>
    </row>
    <row r="2446" spans="1:5" x14ac:dyDescent="0.2">
      <c r="A2446" s="344">
        <v>45616</v>
      </c>
      <c r="B2446" s="333">
        <f t="shared" si="49"/>
        <v>331473.23</v>
      </c>
      <c r="C2446" s="627">
        <v>76984.350000000006</v>
      </c>
      <c r="D2446" s="486">
        <v>200</v>
      </c>
      <c r="E2446" s="598">
        <v>254288.88</v>
      </c>
    </row>
    <row r="2447" spans="1:5" x14ac:dyDescent="0.2">
      <c r="A2447" s="344">
        <v>45616</v>
      </c>
      <c r="B2447" s="333">
        <f t="shared" si="49"/>
        <v>331441.23</v>
      </c>
      <c r="C2447" s="627">
        <v>76952.350000000006</v>
      </c>
      <c r="D2447" s="486">
        <v>200</v>
      </c>
      <c r="E2447" s="598">
        <v>254288.88</v>
      </c>
    </row>
    <row r="2448" spans="1:5" x14ac:dyDescent="0.2">
      <c r="A2448" s="344">
        <v>45617</v>
      </c>
      <c r="B2448" s="333">
        <f t="shared" si="49"/>
        <v>331541.23</v>
      </c>
      <c r="C2448" s="627">
        <v>77052.350000000006</v>
      </c>
      <c r="D2448" s="486">
        <v>200</v>
      </c>
      <c r="E2448" s="598">
        <v>254288.88</v>
      </c>
    </row>
    <row r="2449" spans="1:5" x14ac:dyDescent="0.2">
      <c r="A2449" s="344">
        <v>45618</v>
      </c>
      <c r="B2449" s="333">
        <f t="shared" si="49"/>
        <v>331190.2</v>
      </c>
      <c r="C2449" s="627">
        <v>76701.320000000007</v>
      </c>
      <c r="D2449" s="486">
        <v>200</v>
      </c>
      <c r="E2449" s="598">
        <v>254288.88</v>
      </c>
    </row>
    <row r="2450" spans="1:5" x14ac:dyDescent="0.2">
      <c r="A2450" s="344">
        <v>45618</v>
      </c>
      <c r="B2450" s="333">
        <f t="shared" si="49"/>
        <v>331515.2</v>
      </c>
      <c r="C2450" s="627">
        <v>77026.320000000007</v>
      </c>
      <c r="D2450" s="486">
        <v>200</v>
      </c>
      <c r="E2450" s="598">
        <v>254288.88</v>
      </c>
    </row>
    <row r="2451" spans="1:5" x14ac:dyDescent="0.2">
      <c r="A2451" s="344">
        <v>45618</v>
      </c>
      <c r="B2451" s="333">
        <f t="shared" si="49"/>
        <v>335363.53000000003</v>
      </c>
      <c r="C2451" s="627">
        <v>80874.649999999994</v>
      </c>
      <c r="D2451" s="486">
        <v>200</v>
      </c>
      <c r="E2451" s="598">
        <v>254288.88</v>
      </c>
    </row>
    <row r="2452" spans="1:5" x14ac:dyDescent="0.2">
      <c r="A2452" s="344">
        <v>45622</v>
      </c>
      <c r="B2452" s="333">
        <f t="shared" si="49"/>
        <v>335214.24</v>
      </c>
      <c r="C2452" s="627">
        <v>80725.36</v>
      </c>
      <c r="D2452" s="486">
        <v>200</v>
      </c>
      <c r="E2452" s="598">
        <v>254288.88</v>
      </c>
    </row>
    <row r="2453" spans="1:5" x14ac:dyDescent="0.2">
      <c r="A2453" s="344">
        <v>45623</v>
      </c>
      <c r="B2453" s="333">
        <f t="shared" si="49"/>
        <v>334827.34999999998</v>
      </c>
      <c r="C2453" s="627">
        <v>80338.47</v>
      </c>
      <c r="D2453" s="486">
        <v>200</v>
      </c>
      <c r="E2453" s="598">
        <v>254288.88</v>
      </c>
    </row>
    <row r="2454" spans="1:5" x14ac:dyDescent="0.2">
      <c r="A2454" s="344">
        <v>45625</v>
      </c>
      <c r="B2454" s="333">
        <f t="shared" si="49"/>
        <v>370155.19999999995</v>
      </c>
      <c r="C2454" s="627">
        <v>114885.62</v>
      </c>
      <c r="D2454" s="486">
        <v>200</v>
      </c>
      <c r="E2454" s="598">
        <v>255069.58</v>
      </c>
    </row>
    <row r="2455" spans="1:5" x14ac:dyDescent="0.2">
      <c r="A2455" s="344">
        <v>45628</v>
      </c>
      <c r="B2455" s="333">
        <f t="shared" si="49"/>
        <v>329849.65000000002</v>
      </c>
      <c r="C2455" s="627">
        <v>74580.070000000007</v>
      </c>
      <c r="D2455" s="486">
        <v>200</v>
      </c>
      <c r="E2455" s="598">
        <v>255069.58</v>
      </c>
    </row>
    <row r="2456" spans="1:5" x14ac:dyDescent="0.2">
      <c r="A2456" s="344">
        <v>45629</v>
      </c>
      <c r="B2456" s="333">
        <f t="shared" si="49"/>
        <v>408608.68</v>
      </c>
      <c r="C2456" s="627">
        <v>153339.1</v>
      </c>
      <c r="D2456" s="486">
        <v>200</v>
      </c>
      <c r="E2456" s="598">
        <v>255069.58</v>
      </c>
    </row>
    <row r="2457" spans="1:5" x14ac:dyDescent="0.2">
      <c r="A2457" s="344">
        <v>45629</v>
      </c>
      <c r="B2457" s="333">
        <f t="shared" si="49"/>
        <v>408588.68</v>
      </c>
      <c r="C2457" s="627">
        <v>153319.1</v>
      </c>
      <c r="D2457" s="486">
        <v>200</v>
      </c>
      <c r="E2457" s="598">
        <v>255069.58</v>
      </c>
    </row>
    <row r="2458" spans="1:5" x14ac:dyDescent="0.2">
      <c r="A2458" s="344">
        <v>45629</v>
      </c>
      <c r="B2458" s="333">
        <f t="shared" si="49"/>
        <v>533588.67999999993</v>
      </c>
      <c r="C2458" s="627">
        <v>278319.09999999998</v>
      </c>
      <c r="D2458" s="486">
        <v>200</v>
      </c>
      <c r="E2458" s="598">
        <v>255069.58</v>
      </c>
    </row>
    <row r="2459" spans="1:5" x14ac:dyDescent="0.2">
      <c r="A2459" s="344">
        <v>45631</v>
      </c>
      <c r="B2459" s="333">
        <f t="shared" si="49"/>
        <v>533565.67999999993</v>
      </c>
      <c r="C2459" s="627">
        <v>278296.09999999998</v>
      </c>
      <c r="D2459" s="486">
        <v>200</v>
      </c>
      <c r="E2459" s="598">
        <v>255069.58</v>
      </c>
    </row>
    <row r="2460" spans="1:5" x14ac:dyDescent="0.2">
      <c r="A2460" s="344">
        <v>45631</v>
      </c>
      <c r="B2460" s="333">
        <f t="shared" si="49"/>
        <v>533415.67999999993</v>
      </c>
      <c r="C2460" s="627">
        <v>278146.09999999998</v>
      </c>
      <c r="D2460" s="486">
        <v>200</v>
      </c>
      <c r="E2460" s="598">
        <v>255069.58</v>
      </c>
    </row>
    <row r="2461" spans="1:5" x14ac:dyDescent="0.2">
      <c r="A2461" s="344">
        <v>45631</v>
      </c>
      <c r="B2461" s="333">
        <f t="shared" si="49"/>
        <v>525563.86</v>
      </c>
      <c r="C2461" s="627">
        <v>270294.28000000003</v>
      </c>
      <c r="D2461" s="486">
        <v>200</v>
      </c>
      <c r="E2461" s="598">
        <v>255069.58</v>
      </c>
    </row>
    <row r="2462" spans="1:5" x14ac:dyDescent="0.2">
      <c r="A2462" s="344">
        <v>45631</v>
      </c>
      <c r="B2462" s="333">
        <f t="shared" si="49"/>
        <v>523323.94999999995</v>
      </c>
      <c r="C2462" s="627">
        <v>268054.37</v>
      </c>
      <c r="D2462" s="486">
        <v>200</v>
      </c>
      <c r="E2462" s="598">
        <v>255069.58</v>
      </c>
    </row>
    <row r="2463" spans="1:5" x14ac:dyDescent="0.2">
      <c r="A2463" s="344">
        <v>45631</v>
      </c>
      <c r="B2463" s="333">
        <f t="shared" si="49"/>
        <v>523060.35</v>
      </c>
      <c r="C2463" s="627">
        <v>267790.77</v>
      </c>
      <c r="D2463" s="486">
        <v>200</v>
      </c>
      <c r="E2463" s="598">
        <v>255069.58</v>
      </c>
    </row>
    <row r="2464" spans="1:5" x14ac:dyDescent="0.2">
      <c r="A2464" s="344">
        <v>45631</v>
      </c>
      <c r="B2464" s="333">
        <f t="shared" si="49"/>
        <v>522972.04000000004</v>
      </c>
      <c r="C2464" s="627">
        <v>267702.46000000002</v>
      </c>
      <c r="D2464" s="486">
        <v>200</v>
      </c>
      <c r="E2464" s="598">
        <v>255069.58</v>
      </c>
    </row>
    <row r="2465" spans="1:5" x14ac:dyDescent="0.2">
      <c r="A2465" s="344">
        <v>45631</v>
      </c>
      <c r="B2465" s="333">
        <f t="shared" si="49"/>
        <v>522707.51</v>
      </c>
      <c r="C2465" s="627">
        <v>267437.93</v>
      </c>
      <c r="D2465" s="486">
        <v>200</v>
      </c>
      <c r="E2465" s="598">
        <v>255069.58</v>
      </c>
    </row>
    <row r="2466" spans="1:5" x14ac:dyDescent="0.2">
      <c r="A2466" s="344">
        <v>45631</v>
      </c>
      <c r="B2466" s="333">
        <f t="shared" si="49"/>
        <v>522092.67999999993</v>
      </c>
      <c r="C2466" s="627">
        <v>266823.09999999998</v>
      </c>
      <c r="D2466" s="486">
        <v>200</v>
      </c>
      <c r="E2466" s="598">
        <v>255069.58</v>
      </c>
    </row>
    <row r="2467" spans="1:5" x14ac:dyDescent="0.2">
      <c r="A2467" s="344">
        <v>45631</v>
      </c>
      <c r="B2467" s="333">
        <f t="shared" si="49"/>
        <v>522071.03</v>
      </c>
      <c r="C2467" s="627">
        <v>266801.45</v>
      </c>
      <c r="D2467" s="486">
        <v>200</v>
      </c>
      <c r="E2467" s="598">
        <v>255069.58</v>
      </c>
    </row>
    <row r="2468" spans="1:5" x14ac:dyDescent="0.2">
      <c r="A2468" s="344">
        <v>45631</v>
      </c>
      <c r="B2468" s="333">
        <f t="shared" si="49"/>
        <v>521537.44999999995</v>
      </c>
      <c r="C2468" s="627">
        <v>266267.87</v>
      </c>
      <c r="D2468" s="486">
        <v>200</v>
      </c>
      <c r="E2468" s="598">
        <v>255069.58</v>
      </c>
    </row>
    <row r="2469" spans="1:5" x14ac:dyDescent="0.2">
      <c r="A2469" s="344">
        <v>45631</v>
      </c>
      <c r="B2469" s="333">
        <f t="shared" si="49"/>
        <v>521107.91000000003</v>
      </c>
      <c r="C2469" s="627">
        <v>265838.33</v>
      </c>
      <c r="D2469" s="486">
        <v>200</v>
      </c>
      <c r="E2469" s="598">
        <v>255069.58</v>
      </c>
    </row>
    <row r="2470" spans="1:5" x14ac:dyDescent="0.2">
      <c r="A2470" s="344">
        <v>45631</v>
      </c>
      <c r="B2470" s="333">
        <f t="shared" si="49"/>
        <v>520990.61</v>
      </c>
      <c r="C2470" s="627">
        <v>265721.03000000003</v>
      </c>
      <c r="D2470" s="486">
        <v>200</v>
      </c>
      <c r="E2470" s="598">
        <v>255069.58</v>
      </c>
    </row>
    <row r="2471" spans="1:5" x14ac:dyDescent="0.2">
      <c r="A2471" s="344">
        <v>45631</v>
      </c>
      <c r="B2471" s="333">
        <f t="shared" si="49"/>
        <v>520378.69999999995</v>
      </c>
      <c r="C2471" s="627">
        <v>265109.12</v>
      </c>
      <c r="D2471" s="486">
        <v>200</v>
      </c>
      <c r="E2471" s="598">
        <v>255069.58</v>
      </c>
    </row>
    <row r="2472" spans="1:5" x14ac:dyDescent="0.2">
      <c r="A2472" s="344">
        <v>45631</v>
      </c>
      <c r="B2472" s="333">
        <f t="shared" si="49"/>
        <v>520320.57999999996</v>
      </c>
      <c r="C2472" s="627">
        <v>265051</v>
      </c>
      <c r="D2472" s="486">
        <v>200</v>
      </c>
      <c r="E2472" s="598">
        <v>255069.58</v>
      </c>
    </row>
    <row r="2473" spans="1:5" x14ac:dyDescent="0.2">
      <c r="A2473" s="344">
        <v>45631</v>
      </c>
      <c r="B2473" s="333">
        <f t="shared" ref="B2473:B2522" si="50">C2473+D2473+E2473</f>
        <v>534914.6</v>
      </c>
      <c r="C2473" s="627">
        <v>279645.02</v>
      </c>
      <c r="D2473" s="486">
        <v>200</v>
      </c>
      <c r="E2473" s="598">
        <v>255069.58</v>
      </c>
    </row>
    <row r="2474" spans="1:5" x14ac:dyDescent="0.2">
      <c r="A2474" s="344">
        <v>45631</v>
      </c>
      <c r="B2474" s="333">
        <f t="shared" si="50"/>
        <v>535471.51</v>
      </c>
      <c r="C2474" s="627">
        <v>280201.93</v>
      </c>
      <c r="D2474" s="486">
        <v>200</v>
      </c>
      <c r="E2474" s="598">
        <v>255069.58</v>
      </c>
    </row>
    <row r="2475" spans="1:5" x14ac:dyDescent="0.2">
      <c r="A2475" s="344">
        <v>45632</v>
      </c>
      <c r="B2475" s="333">
        <f t="shared" si="50"/>
        <v>535571.51</v>
      </c>
      <c r="C2475" s="627">
        <v>280301.93</v>
      </c>
      <c r="D2475" s="486">
        <v>200</v>
      </c>
      <c r="E2475" s="598">
        <v>255069.58</v>
      </c>
    </row>
    <row r="2476" spans="1:5" x14ac:dyDescent="0.2">
      <c r="A2476" s="344">
        <v>45632</v>
      </c>
      <c r="B2476" s="333">
        <f t="shared" si="50"/>
        <v>535220.47999999998</v>
      </c>
      <c r="C2476" s="627">
        <v>279950.90000000002</v>
      </c>
      <c r="D2476" s="486">
        <v>200</v>
      </c>
      <c r="E2476" s="598">
        <v>255069.58</v>
      </c>
    </row>
    <row r="2477" spans="1:5" x14ac:dyDescent="0.2">
      <c r="A2477" s="344">
        <v>45635</v>
      </c>
      <c r="B2477" s="333">
        <f t="shared" si="50"/>
        <v>535851.48</v>
      </c>
      <c r="C2477" s="627">
        <v>280581.90000000002</v>
      </c>
      <c r="D2477" s="486">
        <v>200</v>
      </c>
      <c r="E2477" s="598">
        <v>255069.58</v>
      </c>
    </row>
    <row r="2478" spans="1:5" x14ac:dyDescent="0.2">
      <c r="A2478" s="344">
        <v>45636</v>
      </c>
      <c r="B2478" s="333">
        <f t="shared" si="50"/>
        <v>536311.48</v>
      </c>
      <c r="C2478" s="627">
        <v>281041.90000000002</v>
      </c>
      <c r="D2478" s="486">
        <v>200</v>
      </c>
      <c r="E2478" s="598">
        <v>255069.58</v>
      </c>
    </row>
    <row r="2479" spans="1:5" x14ac:dyDescent="0.2">
      <c r="A2479" s="344">
        <v>45637</v>
      </c>
      <c r="B2479" s="333">
        <f t="shared" si="50"/>
        <v>526861.48</v>
      </c>
      <c r="C2479" s="627">
        <v>271591.90000000002</v>
      </c>
      <c r="D2479" s="486">
        <v>200</v>
      </c>
      <c r="E2479" s="598">
        <v>255069.58</v>
      </c>
    </row>
    <row r="2480" spans="1:5" x14ac:dyDescent="0.2">
      <c r="A2480" s="344">
        <v>45638</v>
      </c>
      <c r="B2480" s="333">
        <f t="shared" si="50"/>
        <v>526771.48</v>
      </c>
      <c r="C2480" s="627">
        <v>271501.90000000002</v>
      </c>
      <c r="D2480" s="486">
        <v>200</v>
      </c>
      <c r="E2480" s="598">
        <v>255069.58</v>
      </c>
    </row>
    <row r="2481" spans="1:5" x14ac:dyDescent="0.2">
      <c r="A2481" s="344">
        <v>45638</v>
      </c>
      <c r="B2481" s="333">
        <f t="shared" si="50"/>
        <v>526665.76</v>
      </c>
      <c r="C2481" s="627">
        <v>271396.18</v>
      </c>
      <c r="D2481" s="486">
        <v>200</v>
      </c>
      <c r="E2481" s="598">
        <v>255069.58</v>
      </c>
    </row>
    <row r="2482" spans="1:5" x14ac:dyDescent="0.2">
      <c r="A2482" s="344">
        <v>45638</v>
      </c>
      <c r="B2482" s="333">
        <f t="shared" si="50"/>
        <v>526579.77</v>
      </c>
      <c r="C2482" s="627">
        <v>271310.19</v>
      </c>
      <c r="D2482" s="486">
        <v>200</v>
      </c>
      <c r="E2482" s="598">
        <v>255069.58</v>
      </c>
    </row>
    <row r="2483" spans="1:5" x14ac:dyDescent="0.2">
      <c r="A2483" s="344">
        <v>45638</v>
      </c>
      <c r="B2483" s="333">
        <f t="shared" si="50"/>
        <v>526579.77</v>
      </c>
      <c r="C2483" s="627">
        <v>271310.19</v>
      </c>
      <c r="D2483" s="486">
        <v>200</v>
      </c>
      <c r="E2483" s="598">
        <v>255069.58</v>
      </c>
    </row>
    <row r="2484" spans="1:5" x14ac:dyDescent="0.2">
      <c r="A2484" s="344">
        <v>45638</v>
      </c>
      <c r="B2484" s="333">
        <f t="shared" si="50"/>
        <v>524798.53</v>
      </c>
      <c r="C2484" s="627">
        <v>269528.95</v>
      </c>
      <c r="D2484" s="486">
        <v>200</v>
      </c>
      <c r="E2484" s="598">
        <v>255069.58</v>
      </c>
    </row>
    <row r="2485" spans="1:5" x14ac:dyDescent="0.2">
      <c r="A2485" s="344">
        <v>45638</v>
      </c>
      <c r="B2485" s="333">
        <f t="shared" si="50"/>
        <v>524120.99</v>
      </c>
      <c r="C2485" s="627">
        <v>268851.40999999997</v>
      </c>
      <c r="D2485" s="486">
        <v>200</v>
      </c>
      <c r="E2485" s="598">
        <v>255069.58</v>
      </c>
    </row>
    <row r="2486" spans="1:5" x14ac:dyDescent="0.2">
      <c r="A2486" s="344">
        <v>45638</v>
      </c>
      <c r="B2486" s="333">
        <f t="shared" si="50"/>
        <v>524093.39</v>
      </c>
      <c r="C2486" s="627">
        <v>268823.81</v>
      </c>
      <c r="D2486" s="486">
        <v>200</v>
      </c>
      <c r="E2486" s="598">
        <v>255069.58</v>
      </c>
    </row>
    <row r="2487" spans="1:5" x14ac:dyDescent="0.2">
      <c r="A2487" s="344">
        <v>45638</v>
      </c>
      <c r="B2487" s="333">
        <f t="shared" si="50"/>
        <v>524072.39</v>
      </c>
      <c r="C2487" s="627">
        <v>268802.81</v>
      </c>
      <c r="D2487" s="486">
        <v>200</v>
      </c>
      <c r="E2487" s="598">
        <v>255069.58</v>
      </c>
    </row>
    <row r="2488" spans="1:5" x14ac:dyDescent="0.2">
      <c r="A2488" s="344">
        <v>45638</v>
      </c>
      <c r="B2488" s="333">
        <f t="shared" si="50"/>
        <v>524072.39</v>
      </c>
      <c r="C2488" s="627">
        <v>268802.81</v>
      </c>
      <c r="D2488" s="486">
        <v>200</v>
      </c>
      <c r="E2488" s="598">
        <v>255069.58</v>
      </c>
    </row>
    <row r="2489" spans="1:5" x14ac:dyDescent="0.2">
      <c r="A2489" s="344">
        <v>45638</v>
      </c>
      <c r="B2489" s="333">
        <f t="shared" si="50"/>
        <v>523894.11</v>
      </c>
      <c r="C2489" s="627">
        <v>268624.53000000003</v>
      </c>
      <c r="D2489" s="486">
        <v>200</v>
      </c>
      <c r="E2489" s="598">
        <v>255069.58</v>
      </c>
    </row>
    <row r="2490" spans="1:5" x14ac:dyDescent="0.2">
      <c r="A2490" s="344">
        <v>45638</v>
      </c>
      <c r="B2490" s="333">
        <f t="shared" si="50"/>
        <v>523656.66000000003</v>
      </c>
      <c r="C2490" s="627">
        <v>268387.08</v>
      </c>
      <c r="D2490" s="486">
        <v>200</v>
      </c>
      <c r="E2490" s="598">
        <v>255069.58</v>
      </c>
    </row>
    <row r="2491" spans="1:5" x14ac:dyDescent="0.2">
      <c r="A2491" s="344">
        <v>45639</v>
      </c>
      <c r="B2491" s="333">
        <f t="shared" si="50"/>
        <v>523671.15</v>
      </c>
      <c r="C2491" s="627">
        <v>268401.57</v>
      </c>
      <c r="D2491" s="486">
        <v>200</v>
      </c>
      <c r="E2491" s="598">
        <v>255069.58</v>
      </c>
    </row>
    <row r="2492" spans="1:5" x14ac:dyDescent="0.2">
      <c r="A2492" s="344">
        <v>45642</v>
      </c>
      <c r="B2492" s="333">
        <f t="shared" si="50"/>
        <v>480106.27</v>
      </c>
      <c r="C2492" s="627">
        <v>224836.69</v>
      </c>
      <c r="D2492" s="486">
        <v>200</v>
      </c>
      <c r="E2492" s="598">
        <v>255069.58</v>
      </c>
    </row>
    <row r="2493" spans="1:5" x14ac:dyDescent="0.2">
      <c r="A2493" s="344">
        <v>45644</v>
      </c>
      <c r="B2493" s="333">
        <f t="shared" si="50"/>
        <v>480052.75</v>
      </c>
      <c r="C2493" s="627">
        <v>224783.17</v>
      </c>
      <c r="D2493" s="486">
        <v>200</v>
      </c>
      <c r="E2493" s="598">
        <v>255069.58</v>
      </c>
    </row>
    <row r="2494" spans="1:5" x14ac:dyDescent="0.2">
      <c r="A2494" s="344">
        <v>45644</v>
      </c>
      <c r="B2494" s="333">
        <f t="shared" si="50"/>
        <v>479688.41</v>
      </c>
      <c r="C2494" s="627">
        <v>224418.83</v>
      </c>
      <c r="D2494" s="486">
        <v>200</v>
      </c>
      <c r="E2494" s="598">
        <v>255069.58</v>
      </c>
    </row>
    <row r="2495" spans="1:5" x14ac:dyDescent="0.2">
      <c r="A2495" s="344">
        <v>45644</v>
      </c>
      <c r="B2495" s="333">
        <f t="shared" si="50"/>
        <v>479480.41</v>
      </c>
      <c r="C2495" s="627">
        <v>224210.83</v>
      </c>
      <c r="D2495" s="486">
        <v>200</v>
      </c>
      <c r="E2495" s="598">
        <v>255069.58</v>
      </c>
    </row>
    <row r="2496" spans="1:5" x14ac:dyDescent="0.2">
      <c r="A2496" s="344">
        <v>45644</v>
      </c>
      <c r="B2496" s="333">
        <f t="shared" si="50"/>
        <v>479097.24</v>
      </c>
      <c r="C2496" s="627">
        <v>223827.66</v>
      </c>
      <c r="D2496" s="486">
        <v>200</v>
      </c>
      <c r="E2496" s="598">
        <v>255069.58</v>
      </c>
    </row>
    <row r="2497" spans="1:5" x14ac:dyDescent="0.2">
      <c r="A2497" s="344">
        <v>45644</v>
      </c>
      <c r="B2497" s="333">
        <f t="shared" si="50"/>
        <v>479093.24</v>
      </c>
      <c r="C2497" s="627">
        <v>223823.66</v>
      </c>
      <c r="D2497" s="486">
        <v>200</v>
      </c>
      <c r="E2497" s="598">
        <v>255069.58</v>
      </c>
    </row>
    <row r="2498" spans="1:5" x14ac:dyDescent="0.2">
      <c r="A2498" s="344">
        <v>45644</v>
      </c>
      <c r="B2498" s="333">
        <f t="shared" si="50"/>
        <v>479072.24</v>
      </c>
      <c r="C2498" s="627">
        <v>223802.66</v>
      </c>
      <c r="D2498" s="486">
        <v>200</v>
      </c>
      <c r="E2498" s="598">
        <v>255069.58</v>
      </c>
    </row>
    <row r="2499" spans="1:5" x14ac:dyDescent="0.2">
      <c r="A2499" s="344">
        <v>45644</v>
      </c>
      <c r="B2499" s="333">
        <f t="shared" si="50"/>
        <v>479028.4</v>
      </c>
      <c r="C2499" s="627">
        <v>223758.82</v>
      </c>
      <c r="D2499" s="486">
        <v>200</v>
      </c>
      <c r="E2499" s="598">
        <v>255069.58</v>
      </c>
    </row>
    <row r="2500" spans="1:5" x14ac:dyDescent="0.2">
      <c r="A2500" s="344">
        <v>45644</v>
      </c>
      <c r="B2500" s="333">
        <f t="shared" si="50"/>
        <v>479643.4</v>
      </c>
      <c r="C2500" s="627">
        <v>224373.82</v>
      </c>
      <c r="D2500" s="486">
        <v>200</v>
      </c>
      <c r="E2500" s="598">
        <v>255069.58</v>
      </c>
    </row>
    <row r="2501" spans="1:5" x14ac:dyDescent="0.2">
      <c r="A2501" s="344">
        <v>45644</v>
      </c>
      <c r="B2501" s="333">
        <f t="shared" si="50"/>
        <v>542279.13</v>
      </c>
      <c r="C2501" s="627">
        <v>287009.55</v>
      </c>
      <c r="D2501" s="486">
        <v>200</v>
      </c>
      <c r="E2501" s="598">
        <v>255069.58</v>
      </c>
    </row>
    <row r="2502" spans="1:5" x14ac:dyDescent="0.2">
      <c r="A2502" s="344">
        <v>45644</v>
      </c>
      <c r="B2502" s="333">
        <f t="shared" si="50"/>
        <v>541679.13</v>
      </c>
      <c r="C2502" s="627">
        <v>286409.55</v>
      </c>
      <c r="D2502" s="486">
        <v>200</v>
      </c>
      <c r="E2502" s="598">
        <v>255069.58</v>
      </c>
    </row>
    <row r="2503" spans="1:5" x14ac:dyDescent="0.2">
      <c r="A2503" s="344">
        <v>45645</v>
      </c>
      <c r="B2503" s="333">
        <f t="shared" si="50"/>
        <v>541666.38</v>
      </c>
      <c r="C2503" s="627">
        <v>286396.79999999999</v>
      </c>
      <c r="D2503" s="486">
        <v>200</v>
      </c>
      <c r="E2503" s="598">
        <v>255069.58</v>
      </c>
    </row>
    <row r="2504" spans="1:5" x14ac:dyDescent="0.2">
      <c r="A2504" s="344">
        <v>45646</v>
      </c>
      <c r="B2504" s="333">
        <f t="shared" si="50"/>
        <v>538452.99</v>
      </c>
      <c r="C2504" s="627">
        <v>283183.40999999997</v>
      </c>
      <c r="D2504" s="486">
        <v>200</v>
      </c>
      <c r="E2504" s="598">
        <v>255069.58</v>
      </c>
    </row>
    <row r="2505" spans="1:5" x14ac:dyDescent="0.2">
      <c r="A2505" s="344">
        <v>45649</v>
      </c>
      <c r="B2505" s="333">
        <f t="shared" si="50"/>
        <v>538552.99</v>
      </c>
      <c r="C2505" s="627">
        <v>283283.40999999997</v>
      </c>
      <c r="D2505" s="486">
        <v>200</v>
      </c>
      <c r="E2505" s="598">
        <v>255069.58</v>
      </c>
    </row>
    <row r="2506" spans="1:5" x14ac:dyDescent="0.2">
      <c r="A2506" s="344">
        <v>45649</v>
      </c>
      <c r="B2506" s="333">
        <f t="shared" si="50"/>
        <v>536552.99</v>
      </c>
      <c r="C2506" s="627">
        <v>281283.40999999997</v>
      </c>
      <c r="D2506" s="486">
        <v>200</v>
      </c>
      <c r="E2506" s="598">
        <v>255069.58</v>
      </c>
    </row>
    <row r="2507" spans="1:5" x14ac:dyDescent="0.2">
      <c r="A2507" s="344">
        <v>45649</v>
      </c>
      <c r="B2507" s="333">
        <f t="shared" si="50"/>
        <v>536201.63</v>
      </c>
      <c r="C2507" s="627">
        <v>280932.05</v>
      </c>
      <c r="D2507" s="486">
        <v>200</v>
      </c>
      <c r="E2507" s="598">
        <v>255069.58</v>
      </c>
    </row>
    <row r="2508" spans="1:5" x14ac:dyDescent="0.2">
      <c r="A2508" s="344">
        <v>45652</v>
      </c>
      <c r="B2508" s="333">
        <f t="shared" si="50"/>
        <v>535807.31999999995</v>
      </c>
      <c r="C2508" s="627">
        <v>280537.74</v>
      </c>
      <c r="D2508" s="486">
        <v>200</v>
      </c>
      <c r="E2508" s="598">
        <v>255069.58</v>
      </c>
    </row>
    <row r="2509" spans="1:5" x14ac:dyDescent="0.2">
      <c r="A2509" s="344">
        <v>45652</v>
      </c>
      <c r="B2509" s="333">
        <f t="shared" si="50"/>
        <v>535664.52</v>
      </c>
      <c r="C2509" s="627">
        <v>280394.94</v>
      </c>
      <c r="D2509" s="486">
        <v>200</v>
      </c>
      <c r="E2509" s="598">
        <v>255069.58</v>
      </c>
    </row>
    <row r="2510" spans="1:5" x14ac:dyDescent="0.2">
      <c r="A2510" s="344">
        <v>45652</v>
      </c>
      <c r="B2510" s="333">
        <f t="shared" si="50"/>
        <v>535761.02</v>
      </c>
      <c r="C2510" s="627">
        <v>280491.44</v>
      </c>
      <c r="D2510" s="486">
        <v>200</v>
      </c>
      <c r="E2510" s="598">
        <v>255069.58</v>
      </c>
    </row>
    <row r="2511" spans="1:5" x14ac:dyDescent="0.2">
      <c r="A2511" s="344">
        <v>45652</v>
      </c>
      <c r="B2511" s="333">
        <f t="shared" si="50"/>
        <v>536438.02</v>
      </c>
      <c r="C2511" s="627">
        <v>281168.44</v>
      </c>
      <c r="D2511" s="486">
        <v>200</v>
      </c>
      <c r="E2511" s="598">
        <v>255069.58</v>
      </c>
    </row>
    <row r="2512" spans="1:5" x14ac:dyDescent="0.2">
      <c r="A2512" s="344">
        <v>45653</v>
      </c>
      <c r="B2512" s="333">
        <f t="shared" si="50"/>
        <v>536339.53</v>
      </c>
      <c r="C2512" s="627">
        <v>281069.95</v>
      </c>
      <c r="D2512" s="486">
        <v>200</v>
      </c>
      <c r="E2512" s="598">
        <v>255069.58</v>
      </c>
    </row>
    <row r="2513" spans="1:8" x14ac:dyDescent="0.2">
      <c r="A2513" s="344">
        <v>45653</v>
      </c>
      <c r="B2513" s="333">
        <f t="shared" si="50"/>
        <v>587170.17000000004</v>
      </c>
      <c r="C2513" s="627">
        <v>331900.59000000003</v>
      </c>
      <c r="D2513" s="486">
        <v>200</v>
      </c>
      <c r="E2513" s="598">
        <v>255069.58</v>
      </c>
    </row>
    <row r="2514" spans="1:8" x14ac:dyDescent="0.2">
      <c r="A2514" s="344">
        <v>45653</v>
      </c>
      <c r="B2514" s="333">
        <f t="shared" si="50"/>
        <v>580571.54999999993</v>
      </c>
      <c r="C2514" s="627">
        <v>325301.96999999997</v>
      </c>
      <c r="D2514" s="486">
        <v>200</v>
      </c>
      <c r="E2514" s="598">
        <v>255069.58</v>
      </c>
    </row>
    <row r="2515" spans="1:8" x14ac:dyDescent="0.2">
      <c r="A2515" s="344">
        <v>45653</v>
      </c>
      <c r="B2515" s="333">
        <f t="shared" si="50"/>
        <v>580513.42999999993</v>
      </c>
      <c r="C2515" s="627">
        <v>325243.84999999998</v>
      </c>
      <c r="D2515" s="486">
        <v>200</v>
      </c>
      <c r="E2515" s="598">
        <v>255069.58</v>
      </c>
    </row>
    <row r="2516" spans="1:8" x14ac:dyDescent="0.2">
      <c r="A2516" s="344">
        <v>45653</v>
      </c>
      <c r="B2516" s="333">
        <f t="shared" si="50"/>
        <v>580071.26</v>
      </c>
      <c r="C2516" s="627">
        <v>324801.68</v>
      </c>
      <c r="D2516" s="486">
        <v>200</v>
      </c>
      <c r="E2516" s="598">
        <v>255069.58</v>
      </c>
    </row>
    <row r="2517" spans="1:8" x14ac:dyDescent="0.2">
      <c r="A2517" s="344">
        <v>45653</v>
      </c>
      <c r="B2517" s="333">
        <f t="shared" si="50"/>
        <v>580008.26</v>
      </c>
      <c r="C2517" s="627">
        <v>324738.68</v>
      </c>
      <c r="D2517" s="486">
        <v>200</v>
      </c>
      <c r="E2517" s="598">
        <v>255069.58</v>
      </c>
    </row>
    <row r="2518" spans="1:8" x14ac:dyDescent="0.2">
      <c r="A2518" s="344">
        <v>45653</v>
      </c>
      <c r="B2518" s="333">
        <f t="shared" si="50"/>
        <v>579804.6</v>
      </c>
      <c r="C2518" s="627">
        <v>324535.02</v>
      </c>
      <c r="D2518" s="486">
        <v>200</v>
      </c>
      <c r="E2518" s="598">
        <v>255069.58</v>
      </c>
    </row>
    <row r="2519" spans="1:8" x14ac:dyDescent="0.2">
      <c r="A2519" s="344">
        <v>45653</v>
      </c>
      <c r="B2519" s="333">
        <f t="shared" si="50"/>
        <v>578855.37</v>
      </c>
      <c r="C2519" s="627">
        <v>323585.78999999998</v>
      </c>
      <c r="D2519" s="486">
        <v>200</v>
      </c>
      <c r="E2519" s="598">
        <v>255069.58</v>
      </c>
    </row>
    <row r="2520" spans="1:8" x14ac:dyDescent="0.2">
      <c r="A2520" s="344">
        <v>45653</v>
      </c>
      <c r="B2520" s="333">
        <f t="shared" si="50"/>
        <v>578822.67999999993</v>
      </c>
      <c r="C2520" s="627">
        <v>323553.09999999998</v>
      </c>
      <c r="D2520" s="486">
        <v>200</v>
      </c>
      <c r="E2520" s="598">
        <v>255069.58</v>
      </c>
    </row>
    <row r="2521" spans="1:8" x14ac:dyDescent="0.2">
      <c r="A2521" s="344">
        <v>45656</v>
      </c>
      <c r="B2521" s="333">
        <f t="shared" si="50"/>
        <v>544325.26</v>
      </c>
      <c r="C2521" s="627">
        <v>288266.03000000003</v>
      </c>
      <c r="D2521" s="486">
        <v>200</v>
      </c>
      <c r="E2521" s="598">
        <v>255859.23</v>
      </c>
    </row>
    <row r="2522" spans="1:8" x14ac:dyDescent="0.2">
      <c r="A2522" s="344">
        <v>45657</v>
      </c>
      <c r="B2522" s="333">
        <f t="shared" si="50"/>
        <v>544325.26</v>
      </c>
      <c r="C2522" s="627">
        <v>288266.03000000003</v>
      </c>
      <c r="D2522" s="486">
        <v>200</v>
      </c>
      <c r="E2522" s="598">
        <v>255859.23</v>
      </c>
      <c r="G2522" t="s">
        <v>649</v>
      </c>
      <c r="H2522" s="213">
        <f>AVERAGE(B2106:B2522)</f>
        <v>486763.38853717048</v>
      </c>
    </row>
    <row r="2523" spans="1:8" x14ac:dyDescent="0.2">
      <c r="A2523" s="768">
        <v>45659</v>
      </c>
      <c r="B2523" s="333">
        <f t="shared" ref="B2523:B2554" si="51">C2523+D2523+E2523</f>
        <v>545173.66</v>
      </c>
      <c r="C2523" s="627">
        <v>289114.43</v>
      </c>
      <c r="D2523" s="486">
        <v>200</v>
      </c>
      <c r="E2523" s="598">
        <v>255859.23</v>
      </c>
    </row>
    <row r="2524" spans="1:8" x14ac:dyDescent="0.2">
      <c r="A2524" s="768">
        <v>45663</v>
      </c>
      <c r="B2524" s="333">
        <f t="shared" si="51"/>
        <v>544863.68000000005</v>
      </c>
      <c r="C2524" s="627">
        <v>288804.45</v>
      </c>
      <c r="D2524" s="486">
        <v>200</v>
      </c>
      <c r="E2524" s="598">
        <v>255859.23</v>
      </c>
    </row>
    <row r="2525" spans="1:8" x14ac:dyDescent="0.2">
      <c r="A2525" s="768">
        <v>45664</v>
      </c>
      <c r="B2525" s="333">
        <f t="shared" si="51"/>
        <v>544840.68000000005</v>
      </c>
      <c r="C2525" s="627">
        <v>288781.45</v>
      </c>
      <c r="D2525" s="486">
        <v>200</v>
      </c>
      <c r="E2525" s="598">
        <v>255859.23</v>
      </c>
    </row>
    <row r="2526" spans="1:8" x14ac:dyDescent="0.2">
      <c r="A2526" s="768">
        <v>45665</v>
      </c>
      <c r="B2526" s="333">
        <f t="shared" si="51"/>
        <v>566395.73</v>
      </c>
      <c r="C2526" s="627">
        <v>310336.5</v>
      </c>
      <c r="D2526" s="486">
        <v>200</v>
      </c>
      <c r="E2526" s="598">
        <v>255859.23</v>
      </c>
    </row>
    <row r="2527" spans="1:8" x14ac:dyDescent="0.2">
      <c r="A2527" s="768">
        <v>45671</v>
      </c>
      <c r="B2527" s="333">
        <f t="shared" si="51"/>
        <v>527044.18999999994</v>
      </c>
      <c r="C2527" s="627">
        <v>270194.21999999997</v>
      </c>
      <c r="D2527" s="486">
        <v>200</v>
      </c>
      <c r="E2527" s="598">
        <v>256649.97</v>
      </c>
    </row>
    <row r="2528" spans="1:8" x14ac:dyDescent="0.2">
      <c r="A2528" s="768">
        <v>45672</v>
      </c>
      <c r="B2528" s="333">
        <f t="shared" si="51"/>
        <v>527073.05000000005</v>
      </c>
      <c r="C2528" s="627">
        <v>270223.08</v>
      </c>
      <c r="D2528" s="486">
        <v>200</v>
      </c>
      <c r="E2528" s="598">
        <v>256649.97</v>
      </c>
    </row>
    <row r="2529" spans="1:5" x14ac:dyDescent="0.2">
      <c r="A2529" s="768">
        <v>45672</v>
      </c>
      <c r="B2529" s="333">
        <f t="shared" si="51"/>
        <v>527073.05000000005</v>
      </c>
      <c r="C2529" s="627">
        <v>270223.08</v>
      </c>
      <c r="D2529" s="486">
        <v>200</v>
      </c>
      <c r="E2529" s="598">
        <v>256649.97</v>
      </c>
    </row>
    <row r="2530" spans="1:5" x14ac:dyDescent="0.2">
      <c r="A2530" s="768">
        <v>45672</v>
      </c>
      <c r="B2530" s="333">
        <f t="shared" si="51"/>
        <v>527073.05000000005</v>
      </c>
      <c r="C2530" s="627">
        <v>270223.08</v>
      </c>
      <c r="D2530" s="486">
        <v>200</v>
      </c>
      <c r="E2530" s="598">
        <v>256649.97</v>
      </c>
    </row>
    <row r="2531" spans="1:5" x14ac:dyDescent="0.2">
      <c r="A2531" s="768">
        <v>45672</v>
      </c>
      <c r="B2531" s="333">
        <f t="shared" si="51"/>
        <v>527861.25</v>
      </c>
      <c r="C2531" s="627">
        <v>271011.28000000003</v>
      </c>
      <c r="D2531" s="486">
        <v>200</v>
      </c>
      <c r="E2531" s="598">
        <v>256649.97</v>
      </c>
    </row>
    <row r="2532" spans="1:5" x14ac:dyDescent="0.2">
      <c r="A2532" s="768">
        <v>45673</v>
      </c>
      <c r="B2532" s="333">
        <f t="shared" si="51"/>
        <v>527711.25</v>
      </c>
      <c r="C2532" s="627">
        <v>270861.28000000003</v>
      </c>
      <c r="D2532" s="486">
        <v>200</v>
      </c>
      <c r="E2532" s="598">
        <v>256649.97</v>
      </c>
    </row>
    <row r="2533" spans="1:5" x14ac:dyDescent="0.2">
      <c r="A2533" s="768">
        <v>45673</v>
      </c>
      <c r="B2533" s="333">
        <f t="shared" si="51"/>
        <v>524055.78</v>
      </c>
      <c r="C2533" s="627">
        <v>267205.81</v>
      </c>
      <c r="D2533" s="486">
        <v>200</v>
      </c>
      <c r="E2533" s="598">
        <v>256649.97</v>
      </c>
    </row>
    <row r="2534" spans="1:5" x14ac:dyDescent="0.2">
      <c r="A2534" s="768">
        <v>45673</v>
      </c>
      <c r="B2534" s="333">
        <f t="shared" si="51"/>
        <v>523966.91000000003</v>
      </c>
      <c r="C2534" s="627">
        <v>267116.94</v>
      </c>
      <c r="D2534" s="486">
        <v>200</v>
      </c>
      <c r="E2534" s="598">
        <v>256649.97</v>
      </c>
    </row>
    <row r="2535" spans="1:5" x14ac:dyDescent="0.2">
      <c r="A2535" s="768">
        <v>45673</v>
      </c>
      <c r="B2535" s="333">
        <f t="shared" si="51"/>
        <v>523289.08999999997</v>
      </c>
      <c r="C2535" s="627">
        <v>266439.12</v>
      </c>
      <c r="D2535" s="486">
        <v>200</v>
      </c>
      <c r="E2535" s="598">
        <v>256649.97</v>
      </c>
    </row>
    <row r="2536" spans="1:5" x14ac:dyDescent="0.2">
      <c r="A2536" s="768">
        <v>45673</v>
      </c>
      <c r="B2536" s="333">
        <f t="shared" si="51"/>
        <v>522707.93000000005</v>
      </c>
      <c r="C2536" s="627">
        <v>265857.96000000002</v>
      </c>
      <c r="D2536" s="486">
        <v>200</v>
      </c>
      <c r="E2536" s="598">
        <v>256649.97</v>
      </c>
    </row>
    <row r="2537" spans="1:5" x14ac:dyDescent="0.2">
      <c r="A2537" s="768">
        <v>45673</v>
      </c>
      <c r="B2537" s="333">
        <f t="shared" si="51"/>
        <v>522382.93000000005</v>
      </c>
      <c r="C2537" s="627">
        <v>265532.96000000002</v>
      </c>
      <c r="D2537" s="486">
        <v>200</v>
      </c>
      <c r="E2537" s="598">
        <v>256649.97</v>
      </c>
    </row>
    <row r="2538" spans="1:5" x14ac:dyDescent="0.2">
      <c r="A2538" s="768">
        <v>45673</v>
      </c>
      <c r="B2538" s="333">
        <f t="shared" si="51"/>
        <v>522192.53</v>
      </c>
      <c r="C2538" s="627">
        <v>265342.56</v>
      </c>
      <c r="D2538" s="486">
        <v>200</v>
      </c>
      <c r="E2538" s="598">
        <v>256649.97</v>
      </c>
    </row>
    <row r="2539" spans="1:5" x14ac:dyDescent="0.2">
      <c r="A2539" s="768">
        <v>45673</v>
      </c>
      <c r="B2539" s="333">
        <f t="shared" si="51"/>
        <v>519298.83999999997</v>
      </c>
      <c r="C2539" s="627">
        <v>262448.87</v>
      </c>
      <c r="D2539" s="486">
        <v>200</v>
      </c>
      <c r="E2539" s="598">
        <v>256649.97</v>
      </c>
    </row>
    <row r="2540" spans="1:5" x14ac:dyDescent="0.2">
      <c r="A2540" s="768">
        <v>45673</v>
      </c>
      <c r="B2540" s="333">
        <f t="shared" si="51"/>
        <v>518936.1</v>
      </c>
      <c r="C2540" s="627">
        <v>262086.13</v>
      </c>
      <c r="D2540" s="486">
        <v>200</v>
      </c>
      <c r="E2540" s="598">
        <v>256649.97</v>
      </c>
    </row>
    <row r="2541" spans="1:5" x14ac:dyDescent="0.2">
      <c r="A2541" s="768">
        <v>45673</v>
      </c>
      <c r="B2541" s="333">
        <f t="shared" si="51"/>
        <v>518661.35</v>
      </c>
      <c r="C2541" s="627">
        <v>261811.38</v>
      </c>
      <c r="D2541" s="486">
        <v>200</v>
      </c>
      <c r="E2541" s="598">
        <v>256649.97</v>
      </c>
    </row>
    <row r="2542" spans="1:5" x14ac:dyDescent="0.2">
      <c r="A2542" s="768">
        <v>45673</v>
      </c>
      <c r="B2542" s="333">
        <f t="shared" si="51"/>
        <v>518609.56</v>
      </c>
      <c r="C2542" s="627">
        <v>261759.59</v>
      </c>
      <c r="D2542" s="486">
        <v>200</v>
      </c>
      <c r="E2542" s="598">
        <v>256649.97</v>
      </c>
    </row>
    <row r="2543" spans="1:5" x14ac:dyDescent="0.2">
      <c r="A2543" s="768">
        <v>45673</v>
      </c>
      <c r="B2543" s="333">
        <f t="shared" si="51"/>
        <v>518485.12</v>
      </c>
      <c r="C2543" s="627">
        <v>261635.15</v>
      </c>
      <c r="D2543" s="486">
        <v>200</v>
      </c>
      <c r="E2543" s="598">
        <v>256649.97</v>
      </c>
    </row>
    <row r="2544" spans="1:5" x14ac:dyDescent="0.2">
      <c r="A2544" s="768">
        <v>45673</v>
      </c>
      <c r="B2544" s="333">
        <f t="shared" si="51"/>
        <v>517870.45</v>
      </c>
      <c r="C2544" s="627">
        <v>261020.48</v>
      </c>
      <c r="D2544" s="486">
        <v>200</v>
      </c>
      <c r="E2544" s="598">
        <v>256649.97</v>
      </c>
    </row>
    <row r="2545" spans="1:5" x14ac:dyDescent="0.2">
      <c r="A2545" s="768">
        <v>45673</v>
      </c>
      <c r="B2545" s="333">
        <f t="shared" si="51"/>
        <v>517570.45</v>
      </c>
      <c r="C2545" s="627">
        <v>260720.48</v>
      </c>
      <c r="D2545" s="486">
        <v>200</v>
      </c>
      <c r="E2545" s="598">
        <v>256649.97</v>
      </c>
    </row>
    <row r="2546" spans="1:5" x14ac:dyDescent="0.2">
      <c r="A2546" s="768">
        <v>45673</v>
      </c>
      <c r="B2546" s="333">
        <f t="shared" si="51"/>
        <v>517538.58999999997</v>
      </c>
      <c r="C2546" s="627">
        <v>260688.62</v>
      </c>
      <c r="D2546" s="486">
        <v>200</v>
      </c>
      <c r="E2546" s="598">
        <v>256649.97</v>
      </c>
    </row>
    <row r="2547" spans="1:5" x14ac:dyDescent="0.2">
      <c r="A2547" s="768">
        <v>45673</v>
      </c>
      <c r="B2547" s="333">
        <f t="shared" si="51"/>
        <v>517508.64</v>
      </c>
      <c r="C2547" s="627">
        <v>260658.67</v>
      </c>
      <c r="D2547" s="486">
        <v>200</v>
      </c>
      <c r="E2547" s="598">
        <v>256649.97</v>
      </c>
    </row>
    <row r="2548" spans="1:5" x14ac:dyDescent="0.2">
      <c r="A2548" s="769">
        <v>45674</v>
      </c>
      <c r="B2548" s="333">
        <f t="shared" si="51"/>
        <v>517198.66000000003</v>
      </c>
      <c r="C2548" s="770">
        <v>260348.69</v>
      </c>
      <c r="D2548" s="771">
        <v>200</v>
      </c>
      <c r="E2548" s="772">
        <v>256649.97</v>
      </c>
    </row>
    <row r="2549" spans="1:5" x14ac:dyDescent="0.2">
      <c r="A2549" s="768">
        <v>45678</v>
      </c>
      <c r="B2549" s="333">
        <f t="shared" si="51"/>
        <v>521648.66000000003</v>
      </c>
      <c r="C2549" s="627">
        <v>264798.69</v>
      </c>
      <c r="D2549" s="486">
        <v>200</v>
      </c>
      <c r="E2549" s="598">
        <v>256649.97</v>
      </c>
    </row>
    <row r="2550" spans="1:5" x14ac:dyDescent="0.2">
      <c r="A2550" s="768">
        <v>45678</v>
      </c>
      <c r="B2550" s="333">
        <f t="shared" si="51"/>
        <v>538194.97</v>
      </c>
      <c r="C2550" s="627">
        <v>281345</v>
      </c>
      <c r="D2550" s="486">
        <v>200</v>
      </c>
      <c r="E2550" s="598">
        <v>256649.97</v>
      </c>
    </row>
    <row r="2551" spans="1:5" x14ac:dyDescent="0.2">
      <c r="A2551" s="768">
        <v>45678</v>
      </c>
      <c r="B2551" s="333">
        <f t="shared" si="51"/>
        <v>551196.84</v>
      </c>
      <c r="C2551" s="627">
        <v>294346.87</v>
      </c>
      <c r="D2551" s="486">
        <v>200</v>
      </c>
      <c r="E2551" s="598">
        <v>256649.97</v>
      </c>
    </row>
    <row r="2552" spans="1:5" x14ac:dyDescent="0.2">
      <c r="A2552" s="768">
        <v>45678</v>
      </c>
      <c r="B2552" s="333">
        <f t="shared" si="51"/>
        <v>548130.44999999995</v>
      </c>
      <c r="C2552" s="627">
        <v>291280.48</v>
      </c>
      <c r="D2552" s="486">
        <v>200</v>
      </c>
      <c r="E2552" s="598">
        <v>256649.97</v>
      </c>
    </row>
    <row r="2553" spans="1:5" x14ac:dyDescent="0.2">
      <c r="A2553" s="768">
        <v>45679</v>
      </c>
      <c r="B2553" s="333">
        <f t="shared" si="51"/>
        <v>547980.44999999995</v>
      </c>
      <c r="C2553" s="627">
        <v>291130.48</v>
      </c>
      <c r="D2553" s="486">
        <v>200</v>
      </c>
      <c r="E2553" s="598">
        <v>256649.97</v>
      </c>
    </row>
    <row r="2554" spans="1:5" x14ac:dyDescent="0.2">
      <c r="A2554" s="768">
        <v>45679</v>
      </c>
      <c r="B2554" s="333">
        <f t="shared" si="51"/>
        <v>547980.44999999995</v>
      </c>
      <c r="C2554" s="627">
        <v>291130.48</v>
      </c>
      <c r="D2554" s="486">
        <v>200</v>
      </c>
      <c r="E2554" s="598">
        <v>256649.97</v>
      </c>
    </row>
    <row r="2555" spans="1:5" x14ac:dyDescent="0.2">
      <c r="A2555" s="768">
        <v>45679</v>
      </c>
      <c r="B2555" s="333">
        <f t="shared" ref="B2555:B2586" si="52">C2555+D2555+E2555</f>
        <v>547930.44999999995</v>
      </c>
      <c r="C2555" s="627">
        <v>291080.48</v>
      </c>
      <c r="D2555" s="486">
        <v>200</v>
      </c>
      <c r="E2555" s="598">
        <v>256649.97</v>
      </c>
    </row>
    <row r="2556" spans="1:5" x14ac:dyDescent="0.2">
      <c r="A2556" s="768">
        <v>45680</v>
      </c>
      <c r="B2556" s="333">
        <f t="shared" si="52"/>
        <v>568182.62</v>
      </c>
      <c r="C2556" s="627">
        <v>311332.65000000002</v>
      </c>
      <c r="D2556" s="486">
        <v>200</v>
      </c>
      <c r="E2556" s="598">
        <v>256649.97</v>
      </c>
    </row>
    <row r="2557" spans="1:5" x14ac:dyDescent="0.2">
      <c r="A2557" s="768">
        <v>45684</v>
      </c>
      <c r="B2557" s="333">
        <f t="shared" si="52"/>
        <v>567633.55000000005</v>
      </c>
      <c r="C2557" s="627">
        <v>310783.58</v>
      </c>
      <c r="D2557" s="486">
        <v>200</v>
      </c>
      <c r="E2557" s="598">
        <v>256649.97</v>
      </c>
    </row>
    <row r="2558" spans="1:5" x14ac:dyDescent="0.2">
      <c r="A2558" s="768">
        <v>45685</v>
      </c>
      <c r="B2558" s="333">
        <f t="shared" si="52"/>
        <v>532764.98</v>
      </c>
      <c r="C2558" s="627">
        <v>275915.01</v>
      </c>
      <c r="D2558" s="486">
        <v>200</v>
      </c>
      <c r="E2558" s="598">
        <v>256649.97</v>
      </c>
    </row>
    <row r="2559" spans="1:5" x14ac:dyDescent="0.2">
      <c r="A2559" s="768">
        <v>45685</v>
      </c>
      <c r="B2559" s="333">
        <f t="shared" si="52"/>
        <v>532732.29</v>
      </c>
      <c r="C2559" s="627">
        <v>275882.32</v>
      </c>
      <c r="D2559" s="486">
        <v>200</v>
      </c>
      <c r="E2559" s="598">
        <v>256649.97</v>
      </c>
    </row>
    <row r="2560" spans="1:5" x14ac:dyDescent="0.2">
      <c r="A2560" s="768">
        <v>45686</v>
      </c>
      <c r="B2560" s="333">
        <f t="shared" si="52"/>
        <v>532305.86</v>
      </c>
      <c r="C2560" s="627">
        <v>275455.89</v>
      </c>
      <c r="D2560" s="486">
        <v>200</v>
      </c>
      <c r="E2560" s="598">
        <v>256649.97</v>
      </c>
    </row>
    <row r="2561" spans="1:5" x14ac:dyDescent="0.2">
      <c r="A2561" s="768">
        <v>45686</v>
      </c>
      <c r="B2561" s="333">
        <f t="shared" si="52"/>
        <v>531883.48</v>
      </c>
      <c r="C2561" s="627">
        <v>275033.51</v>
      </c>
      <c r="D2561" s="486">
        <v>200</v>
      </c>
      <c r="E2561" s="598">
        <v>256649.97</v>
      </c>
    </row>
    <row r="2562" spans="1:5" x14ac:dyDescent="0.2">
      <c r="A2562" s="768">
        <v>45686</v>
      </c>
      <c r="B2562" s="333">
        <f t="shared" si="52"/>
        <v>531791.48</v>
      </c>
      <c r="C2562" s="627">
        <v>274941.51</v>
      </c>
      <c r="D2562" s="486">
        <v>200</v>
      </c>
      <c r="E2562" s="598">
        <v>256649.97</v>
      </c>
    </row>
    <row r="2563" spans="1:5" x14ac:dyDescent="0.2">
      <c r="A2563" s="768">
        <v>45686</v>
      </c>
      <c r="B2563" s="333">
        <f t="shared" si="52"/>
        <v>529702.51</v>
      </c>
      <c r="C2563" s="627">
        <v>272852.53999999998</v>
      </c>
      <c r="D2563" s="486">
        <v>200</v>
      </c>
      <c r="E2563" s="598">
        <v>256649.97</v>
      </c>
    </row>
    <row r="2564" spans="1:5" x14ac:dyDescent="0.2">
      <c r="A2564" s="768">
        <v>45687</v>
      </c>
      <c r="B2564" s="333">
        <f t="shared" si="52"/>
        <v>529914.51</v>
      </c>
      <c r="C2564" s="627">
        <v>273064.53999999998</v>
      </c>
      <c r="D2564" s="486">
        <v>200</v>
      </c>
      <c r="E2564" s="598">
        <v>256649.97</v>
      </c>
    </row>
    <row r="2565" spans="1:5" x14ac:dyDescent="0.2">
      <c r="A2565" s="768">
        <v>45688</v>
      </c>
      <c r="B2565" s="333">
        <f t="shared" si="52"/>
        <v>528738.86</v>
      </c>
      <c r="C2565" s="627">
        <v>271888.89</v>
      </c>
      <c r="D2565" s="486">
        <v>200</v>
      </c>
      <c r="E2565" s="598">
        <v>256649.97</v>
      </c>
    </row>
    <row r="2566" spans="1:5" x14ac:dyDescent="0.2">
      <c r="A2566" s="768">
        <v>45688</v>
      </c>
      <c r="B2566" s="333">
        <f t="shared" si="52"/>
        <v>528428.88</v>
      </c>
      <c r="C2566" s="627">
        <v>271578.90999999997</v>
      </c>
      <c r="D2566" s="486">
        <v>200</v>
      </c>
      <c r="E2566" s="598">
        <v>256649.97</v>
      </c>
    </row>
    <row r="2567" spans="1:5" x14ac:dyDescent="0.2">
      <c r="A2567" s="768">
        <v>45691</v>
      </c>
      <c r="B2567" s="333">
        <f t="shared" si="52"/>
        <v>577620.79</v>
      </c>
      <c r="C2567" s="627">
        <v>320770.82</v>
      </c>
      <c r="D2567" s="486">
        <v>200</v>
      </c>
      <c r="E2567" s="598">
        <v>256649.97</v>
      </c>
    </row>
    <row r="2568" spans="1:5" x14ac:dyDescent="0.2">
      <c r="A2568" s="768">
        <v>45691</v>
      </c>
      <c r="B2568" s="333">
        <f t="shared" si="52"/>
        <v>577570.79</v>
      </c>
      <c r="C2568" s="627">
        <v>320720.82</v>
      </c>
      <c r="D2568" s="486">
        <v>200</v>
      </c>
      <c r="E2568" s="598">
        <v>256649.97</v>
      </c>
    </row>
    <row r="2569" spans="1:5" x14ac:dyDescent="0.2">
      <c r="A2569" s="768">
        <v>45694</v>
      </c>
      <c r="B2569" s="333">
        <f t="shared" si="52"/>
        <v>577570.79</v>
      </c>
      <c r="C2569" s="627">
        <v>320720.82</v>
      </c>
      <c r="D2569" s="486">
        <v>200</v>
      </c>
      <c r="E2569" s="598">
        <v>256649.97</v>
      </c>
    </row>
    <row r="2570" spans="1:5" x14ac:dyDescent="0.2">
      <c r="A2570" s="768">
        <v>45694</v>
      </c>
      <c r="B2570" s="333">
        <f t="shared" si="52"/>
        <v>577274.67000000004</v>
      </c>
      <c r="C2570" s="627">
        <v>320424.7</v>
      </c>
      <c r="D2570" s="486">
        <v>200</v>
      </c>
      <c r="E2570" s="598">
        <v>256649.97</v>
      </c>
    </row>
    <row r="2571" spans="1:5" x14ac:dyDescent="0.2">
      <c r="A2571" s="768">
        <v>45694</v>
      </c>
      <c r="B2571" s="333">
        <f t="shared" si="52"/>
        <v>577010.17000000004</v>
      </c>
      <c r="C2571" s="627">
        <v>320160.2</v>
      </c>
      <c r="D2571" s="486">
        <v>200</v>
      </c>
      <c r="E2571" s="598">
        <v>256649.97</v>
      </c>
    </row>
    <row r="2572" spans="1:5" x14ac:dyDescent="0.2">
      <c r="A2572" s="768">
        <v>45694</v>
      </c>
      <c r="B2572" s="333">
        <f t="shared" si="52"/>
        <v>576996.14</v>
      </c>
      <c r="C2572" s="627">
        <v>320146.17</v>
      </c>
      <c r="D2572" s="486">
        <v>200</v>
      </c>
      <c r="E2572" s="598">
        <v>256649.97</v>
      </c>
    </row>
    <row r="2573" spans="1:5" x14ac:dyDescent="0.2">
      <c r="A2573" s="768">
        <v>45694</v>
      </c>
      <c r="B2573" s="333">
        <f t="shared" si="52"/>
        <v>576643.97</v>
      </c>
      <c r="C2573" s="627">
        <v>319794</v>
      </c>
      <c r="D2573" s="486">
        <v>200</v>
      </c>
      <c r="E2573" s="598">
        <v>256649.97</v>
      </c>
    </row>
    <row r="2574" spans="1:5" x14ac:dyDescent="0.2">
      <c r="A2574" s="768">
        <v>45694</v>
      </c>
      <c r="B2574" s="333">
        <f t="shared" si="52"/>
        <v>576328.97</v>
      </c>
      <c r="C2574" s="627">
        <v>319479</v>
      </c>
      <c r="D2574" s="486">
        <v>200</v>
      </c>
      <c r="E2574" s="598">
        <v>256649.97</v>
      </c>
    </row>
    <row r="2575" spans="1:5" x14ac:dyDescent="0.2">
      <c r="A2575" s="768">
        <v>45694</v>
      </c>
      <c r="B2575" s="333">
        <f t="shared" si="52"/>
        <v>575733.97</v>
      </c>
      <c r="C2575" s="627">
        <v>318884</v>
      </c>
      <c r="D2575" s="486">
        <v>200</v>
      </c>
      <c r="E2575" s="598">
        <v>256649.97</v>
      </c>
    </row>
    <row r="2576" spans="1:5" x14ac:dyDescent="0.2">
      <c r="A2576" s="768">
        <v>45694</v>
      </c>
      <c r="B2576" s="333">
        <f t="shared" si="52"/>
        <v>575608.97</v>
      </c>
      <c r="C2576" s="627">
        <v>318759</v>
      </c>
      <c r="D2576" s="486">
        <v>200</v>
      </c>
      <c r="E2576" s="598">
        <v>256649.97</v>
      </c>
    </row>
    <row r="2577" spans="1:5" x14ac:dyDescent="0.2">
      <c r="A2577" s="768">
        <v>45694</v>
      </c>
      <c r="B2577" s="333">
        <f t="shared" si="52"/>
        <v>575555.44999999995</v>
      </c>
      <c r="C2577" s="627">
        <v>318705.48</v>
      </c>
      <c r="D2577" s="486">
        <v>200</v>
      </c>
      <c r="E2577" s="598">
        <v>256649.97</v>
      </c>
    </row>
    <row r="2578" spans="1:5" x14ac:dyDescent="0.2">
      <c r="A2578" s="768">
        <v>45694</v>
      </c>
      <c r="B2578" s="333">
        <f t="shared" si="52"/>
        <v>570469.09</v>
      </c>
      <c r="C2578" s="627">
        <v>313619.12</v>
      </c>
      <c r="D2578" s="486">
        <v>200</v>
      </c>
      <c r="E2578" s="598">
        <v>256649.97</v>
      </c>
    </row>
    <row r="2579" spans="1:5" x14ac:dyDescent="0.2">
      <c r="A2579" s="768">
        <v>45694</v>
      </c>
      <c r="B2579" s="333">
        <f t="shared" si="52"/>
        <v>570358.43999999994</v>
      </c>
      <c r="C2579" s="627">
        <v>313508.46999999997</v>
      </c>
      <c r="D2579" s="486">
        <v>200</v>
      </c>
      <c r="E2579" s="598">
        <v>256649.97</v>
      </c>
    </row>
    <row r="2580" spans="1:5" x14ac:dyDescent="0.2">
      <c r="A2580" s="768">
        <v>45694</v>
      </c>
      <c r="B2580" s="333">
        <f t="shared" si="52"/>
        <v>570283.44999999995</v>
      </c>
      <c r="C2580" s="627">
        <v>313433.48</v>
      </c>
      <c r="D2580" s="486">
        <v>200</v>
      </c>
      <c r="E2580" s="598">
        <v>256649.97</v>
      </c>
    </row>
    <row r="2581" spans="1:5" x14ac:dyDescent="0.2">
      <c r="A2581" s="768">
        <v>45694</v>
      </c>
      <c r="B2581" s="333">
        <f t="shared" si="52"/>
        <v>569673.63</v>
      </c>
      <c r="C2581" s="627">
        <v>312823.65999999997</v>
      </c>
      <c r="D2581" s="486">
        <v>200</v>
      </c>
      <c r="E2581" s="598">
        <v>256649.97</v>
      </c>
    </row>
    <row r="2582" spans="1:5" x14ac:dyDescent="0.2">
      <c r="A2582" s="768">
        <v>45694</v>
      </c>
      <c r="B2582" s="333">
        <f t="shared" si="52"/>
        <v>569655.98</v>
      </c>
      <c r="C2582" s="627">
        <v>312806.01</v>
      </c>
      <c r="D2582" s="486">
        <v>200</v>
      </c>
      <c r="E2582" s="598">
        <v>256649.97</v>
      </c>
    </row>
    <row r="2583" spans="1:5" x14ac:dyDescent="0.2">
      <c r="A2583" s="768">
        <v>45694</v>
      </c>
      <c r="B2583" s="333">
        <f t="shared" si="52"/>
        <v>569634.98</v>
      </c>
      <c r="C2583" s="627">
        <v>312785.01</v>
      </c>
      <c r="D2583" s="486">
        <v>200</v>
      </c>
      <c r="E2583" s="598">
        <v>256649.97</v>
      </c>
    </row>
    <row r="2584" spans="1:5" x14ac:dyDescent="0.2">
      <c r="A2584" s="768">
        <v>45694</v>
      </c>
      <c r="B2584" s="333">
        <f t="shared" si="52"/>
        <v>569507.01</v>
      </c>
      <c r="C2584" s="627">
        <v>312657.03999999998</v>
      </c>
      <c r="D2584" s="486">
        <v>200</v>
      </c>
      <c r="E2584" s="598">
        <v>256649.97</v>
      </c>
    </row>
    <row r="2585" spans="1:5" x14ac:dyDescent="0.2">
      <c r="A2585" s="768">
        <v>45694</v>
      </c>
      <c r="B2585" s="333">
        <f t="shared" si="52"/>
        <v>569357.01</v>
      </c>
      <c r="C2585" s="627">
        <v>312507.03999999998</v>
      </c>
      <c r="D2585" s="486">
        <v>200</v>
      </c>
      <c r="E2585" s="598">
        <v>256649.97</v>
      </c>
    </row>
    <row r="2586" spans="1:5" x14ac:dyDescent="0.2">
      <c r="A2586" s="768">
        <v>45694</v>
      </c>
      <c r="B2586" s="333">
        <f t="shared" si="52"/>
        <v>569207.01</v>
      </c>
      <c r="C2586" s="627">
        <v>312357.03999999998</v>
      </c>
      <c r="D2586" s="486">
        <v>200</v>
      </c>
      <c r="E2586" s="598">
        <v>256649.97</v>
      </c>
    </row>
    <row r="2587" spans="1:5" x14ac:dyDescent="0.2">
      <c r="A2587" s="768">
        <v>45694</v>
      </c>
      <c r="B2587" s="333">
        <f t="shared" ref="B2587:B2618" si="53">C2587+D2587+E2587</f>
        <v>569172.51</v>
      </c>
      <c r="C2587" s="627">
        <v>312322.53999999998</v>
      </c>
      <c r="D2587" s="486">
        <v>200</v>
      </c>
      <c r="E2587" s="598">
        <v>256649.97</v>
      </c>
    </row>
    <row r="2588" spans="1:5" x14ac:dyDescent="0.2">
      <c r="A2588" s="768">
        <v>45695</v>
      </c>
      <c r="B2588" s="333">
        <f t="shared" si="53"/>
        <v>569717.51</v>
      </c>
      <c r="C2588" s="627">
        <v>312867.53999999998</v>
      </c>
      <c r="D2588" s="486">
        <v>200</v>
      </c>
      <c r="E2588" s="598">
        <v>256649.97</v>
      </c>
    </row>
    <row r="2589" spans="1:5" x14ac:dyDescent="0.2">
      <c r="A2589" s="768">
        <v>45695</v>
      </c>
      <c r="B2589" s="333">
        <f t="shared" si="53"/>
        <v>570147.51</v>
      </c>
      <c r="C2589" s="627">
        <v>313297.53999999998</v>
      </c>
      <c r="D2589" s="486">
        <v>200</v>
      </c>
      <c r="E2589" s="598">
        <v>256649.97</v>
      </c>
    </row>
    <row r="2590" spans="1:5" x14ac:dyDescent="0.2">
      <c r="A2590" s="768">
        <v>45699</v>
      </c>
      <c r="B2590" s="333">
        <f t="shared" si="53"/>
        <v>535120.71</v>
      </c>
      <c r="C2590" s="627">
        <v>278270.74</v>
      </c>
      <c r="D2590" s="486">
        <v>200</v>
      </c>
      <c r="E2590" s="598">
        <v>256649.97</v>
      </c>
    </row>
    <row r="2591" spans="1:5" x14ac:dyDescent="0.2">
      <c r="A2591" s="768">
        <v>45700</v>
      </c>
      <c r="B2591" s="333">
        <f t="shared" si="53"/>
        <v>535486.71</v>
      </c>
      <c r="C2591" s="627">
        <v>278636.74</v>
      </c>
      <c r="D2591" s="486">
        <v>200</v>
      </c>
      <c r="E2591" s="598">
        <v>256649.97</v>
      </c>
    </row>
    <row r="2592" spans="1:5" x14ac:dyDescent="0.2">
      <c r="A2592" s="768">
        <v>45701</v>
      </c>
      <c r="B2592" s="333">
        <f t="shared" si="53"/>
        <v>535516.71</v>
      </c>
      <c r="C2592" s="627">
        <v>278666.74</v>
      </c>
      <c r="D2592" s="486">
        <v>200</v>
      </c>
      <c r="E2592" s="598">
        <v>256649.97</v>
      </c>
    </row>
    <row r="2593" spans="1:5" x14ac:dyDescent="0.2">
      <c r="A2593" s="768">
        <v>45701</v>
      </c>
      <c r="B2593" s="333">
        <f t="shared" si="53"/>
        <v>536161.71</v>
      </c>
      <c r="C2593" s="627">
        <v>279311.74</v>
      </c>
      <c r="D2593" s="486">
        <v>200</v>
      </c>
      <c r="E2593" s="598">
        <v>256649.97</v>
      </c>
    </row>
    <row r="2594" spans="1:5" x14ac:dyDescent="0.2">
      <c r="A2594" s="768">
        <v>45701</v>
      </c>
      <c r="B2594" s="333">
        <f t="shared" si="53"/>
        <v>550880.04</v>
      </c>
      <c r="C2594" s="627">
        <v>294030.07</v>
      </c>
      <c r="D2594" s="486">
        <v>200</v>
      </c>
      <c r="E2594" s="598">
        <v>256649.97</v>
      </c>
    </row>
    <row r="2595" spans="1:5" x14ac:dyDescent="0.2">
      <c r="A2595" s="768">
        <v>45701</v>
      </c>
      <c r="B2595" s="333">
        <f t="shared" si="53"/>
        <v>550830.04</v>
      </c>
      <c r="C2595" s="627">
        <v>293980.07</v>
      </c>
      <c r="D2595" s="486">
        <v>200</v>
      </c>
      <c r="E2595" s="598">
        <v>256649.97</v>
      </c>
    </row>
    <row r="2596" spans="1:5" x14ac:dyDescent="0.2">
      <c r="A2596" s="768">
        <v>45701</v>
      </c>
      <c r="B2596" s="333">
        <f t="shared" si="53"/>
        <v>547456.56999999995</v>
      </c>
      <c r="C2596" s="627">
        <v>290606.59999999998</v>
      </c>
      <c r="D2596" s="486">
        <v>200</v>
      </c>
      <c r="E2596" s="598">
        <v>256649.97</v>
      </c>
    </row>
    <row r="2597" spans="1:5" x14ac:dyDescent="0.2">
      <c r="A2597" s="768">
        <v>45701</v>
      </c>
      <c r="B2597" s="333">
        <f t="shared" si="53"/>
        <v>547019.71</v>
      </c>
      <c r="C2597" s="627">
        <v>290169.74</v>
      </c>
      <c r="D2597" s="486">
        <v>200</v>
      </c>
      <c r="E2597" s="598">
        <v>256649.97</v>
      </c>
    </row>
    <row r="2598" spans="1:5" x14ac:dyDescent="0.2">
      <c r="A2598" s="768">
        <v>45701</v>
      </c>
      <c r="B2598" s="333">
        <f t="shared" si="53"/>
        <v>546958.80000000005</v>
      </c>
      <c r="C2598" s="627">
        <v>290108.83</v>
      </c>
      <c r="D2598" s="486">
        <v>200</v>
      </c>
      <c r="E2598" s="598">
        <v>256649.97</v>
      </c>
    </row>
    <row r="2599" spans="1:5" x14ac:dyDescent="0.2">
      <c r="A2599" s="768">
        <v>45701</v>
      </c>
      <c r="B2599" s="333">
        <f t="shared" si="53"/>
        <v>546637.5</v>
      </c>
      <c r="C2599" s="627">
        <v>289787.53000000003</v>
      </c>
      <c r="D2599" s="486">
        <v>200</v>
      </c>
      <c r="E2599" s="598">
        <v>256649.97</v>
      </c>
    </row>
    <row r="2600" spans="1:5" x14ac:dyDescent="0.2">
      <c r="A2600" s="768">
        <v>45701</v>
      </c>
      <c r="B2600" s="333">
        <f t="shared" si="53"/>
        <v>546198.81999999995</v>
      </c>
      <c r="C2600" s="627">
        <v>289348.84999999998</v>
      </c>
      <c r="D2600" s="486">
        <v>200</v>
      </c>
      <c r="E2600" s="598">
        <v>256649.97</v>
      </c>
    </row>
    <row r="2601" spans="1:5" x14ac:dyDescent="0.2">
      <c r="A2601" s="768">
        <v>45701</v>
      </c>
      <c r="B2601" s="333">
        <f t="shared" si="53"/>
        <v>546125.53</v>
      </c>
      <c r="C2601" s="627">
        <v>289275.56</v>
      </c>
      <c r="D2601" s="486">
        <v>200</v>
      </c>
      <c r="E2601" s="598">
        <v>256649.97</v>
      </c>
    </row>
    <row r="2602" spans="1:5" x14ac:dyDescent="0.2">
      <c r="A2602" s="768">
        <v>45701</v>
      </c>
      <c r="B2602" s="333">
        <f t="shared" si="53"/>
        <v>546000.24</v>
      </c>
      <c r="C2602" s="627">
        <v>289150.27</v>
      </c>
      <c r="D2602" s="486">
        <v>200</v>
      </c>
      <c r="E2602" s="598">
        <v>256649.97</v>
      </c>
    </row>
    <row r="2603" spans="1:5" x14ac:dyDescent="0.2">
      <c r="A2603" s="768">
        <v>45701</v>
      </c>
      <c r="B2603" s="333">
        <f t="shared" si="53"/>
        <v>545896.64</v>
      </c>
      <c r="C2603" s="627">
        <v>289046.67</v>
      </c>
      <c r="D2603" s="486">
        <v>200</v>
      </c>
      <c r="E2603" s="598">
        <v>256649.97</v>
      </c>
    </row>
    <row r="2604" spans="1:5" x14ac:dyDescent="0.2">
      <c r="A2604" s="768">
        <v>45702</v>
      </c>
      <c r="B2604" s="333">
        <f t="shared" si="53"/>
        <v>545923.49</v>
      </c>
      <c r="C2604" s="627">
        <v>289073.52</v>
      </c>
      <c r="D2604" s="486">
        <v>200</v>
      </c>
      <c r="E2604" s="598">
        <v>256649.97</v>
      </c>
    </row>
    <row r="2605" spans="1:5" x14ac:dyDescent="0.2">
      <c r="A2605" s="768">
        <v>45706</v>
      </c>
      <c r="B2605" s="333">
        <f t="shared" si="53"/>
        <v>545642.31999999995</v>
      </c>
      <c r="C2605" s="627">
        <v>288792.34999999998</v>
      </c>
      <c r="D2605" s="486">
        <v>200</v>
      </c>
      <c r="E2605" s="598">
        <v>256649.97</v>
      </c>
    </row>
    <row r="2606" spans="1:5" x14ac:dyDescent="0.2">
      <c r="A2606" s="768">
        <v>45708</v>
      </c>
      <c r="B2606" s="333">
        <f t="shared" si="53"/>
        <v>562800.30000000005</v>
      </c>
      <c r="C2606" s="627">
        <v>305950.33</v>
      </c>
      <c r="D2606" s="486">
        <v>200</v>
      </c>
      <c r="E2606" s="598">
        <v>256649.97</v>
      </c>
    </row>
    <row r="2607" spans="1:5" x14ac:dyDescent="0.2">
      <c r="A2607" s="768">
        <v>45708</v>
      </c>
      <c r="B2607" s="333">
        <f t="shared" si="53"/>
        <v>559882.41</v>
      </c>
      <c r="C2607" s="627">
        <v>303032.44</v>
      </c>
      <c r="D2607" s="486">
        <v>200</v>
      </c>
      <c r="E2607" s="598">
        <v>256649.97</v>
      </c>
    </row>
    <row r="2608" spans="1:5" x14ac:dyDescent="0.2">
      <c r="A2608" s="768">
        <v>45709</v>
      </c>
      <c r="B2608" s="333">
        <f t="shared" si="53"/>
        <v>559828.89</v>
      </c>
      <c r="C2608" s="627">
        <v>302978.92</v>
      </c>
      <c r="D2608" s="486">
        <v>200</v>
      </c>
      <c r="E2608" s="598">
        <v>256649.97</v>
      </c>
    </row>
    <row r="2609" spans="1:5" x14ac:dyDescent="0.2">
      <c r="A2609" s="768">
        <v>45709</v>
      </c>
      <c r="B2609" s="333">
        <f t="shared" si="53"/>
        <v>559618.99</v>
      </c>
      <c r="C2609" s="627">
        <v>302769.02</v>
      </c>
      <c r="D2609" s="486">
        <v>200</v>
      </c>
      <c r="E2609" s="598">
        <v>256649.97</v>
      </c>
    </row>
    <row r="2610" spans="1:5" x14ac:dyDescent="0.2">
      <c r="A2610" s="768">
        <v>45709</v>
      </c>
      <c r="B2610" s="333">
        <f t="shared" si="53"/>
        <v>553735.16</v>
      </c>
      <c r="C2610" s="627">
        <v>296885.19</v>
      </c>
      <c r="D2610" s="486">
        <v>200</v>
      </c>
      <c r="E2610" s="598">
        <v>256649.97</v>
      </c>
    </row>
    <row r="2611" spans="1:5" x14ac:dyDescent="0.2">
      <c r="A2611" s="768">
        <v>45709</v>
      </c>
      <c r="B2611" s="333">
        <f t="shared" si="53"/>
        <v>553600.16</v>
      </c>
      <c r="C2611" s="627">
        <v>296750.19</v>
      </c>
      <c r="D2611" s="486">
        <v>200</v>
      </c>
      <c r="E2611" s="598">
        <v>256649.97</v>
      </c>
    </row>
    <row r="2612" spans="1:5" x14ac:dyDescent="0.2">
      <c r="A2612" s="768">
        <v>45709</v>
      </c>
      <c r="B2612" s="333">
        <f t="shared" si="53"/>
        <v>553214.66</v>
      </c>
      <c r="C2612" s="627">
        <v>296364.69</v>
      </c>
      <c r="D2612" s="486">
        <v>200</v>
      </c>
      <c r="E2612" s="598">
        <v>256649.97</v>
      </c>
    </row>
    <row r="2613" spans="1:5" x14ac:dyDescent="0.2">
      <c r="A2613" s="768">
        <v>45709</v>
      </c>
      <c r="B2613" s="333">
        <f t="shared" si="53"/>
        <v>552947.65</v>
      </c>
      <c r="C2613" s="627">
        <v>296097.68</v>
      </c>
      <c r="D2613" s="486">
        <v>200</v>
      </c>
      <c r="E2613" s="598">
        <v>256649.97</v>
      </c>
    </row>
    <row r="2614" spans="1:5" x14ac:dyDescent="0.2">
      <c r="A2614" s="768">
        <v>45709</v>
      </c>
      <c r="B2614" s="333">
        <f t="shared" si="53"/>
        <v>552282.37</v>
      </c>
      <c r="C2614" s="627">
        <v>295432.40000000002</v>
      </c>
      <c r="D2614" s="486">
        <v>200</v>
      </c>
      <c r="E2614" s="598">
        <v>256649.97</v>
      </c>
    </row>
    <row r="2615" spans="1:5" x14ac:dyDescent="0.2">
      <c r="A2615" s="768">
        <v>45709</v>
      </c>
      <c r="B2615" s="333">
        <f t="shared" si="53"/>
        <v>552240.38</v>
      </c>
      <c r="C2615" s="627">
        <v>295390.40999999997</v>
      </c>
      <c r="D2615" s="486">
        <v>200</v>
      </c>
      <c r="E2615" s="598">
        <v>256649.97</v>
      </c>
    </row>
    <row r="2616" spans="1:5" x14ac:dyDescent="0.2">
      <c r="A2616" s="768">
        <v>45709</v>
      </c>
      <c r="B2616" s="333">
        <f t="shared" si="53"/>
        <v>548111.06000000006</v>
      </c>
      <c r="C2616" s="627">
        <v>291261.09000000003</v>
      </c>
      <c r="D2616" s="486">
        <v>200</v>
      </c>
      <c r="E2616" s="598">
        <v>256649.97</v>
      </c>
    </row>
    <row r="2617" spans="1:5" x14ac:dyDescent="0.2">
      <c r="A2617" s="768">
        <v>45709</v>
      </c>
      <c r="B2617" s="333">
        <f t="shared" si="53"/>
        <v>547875.62</v>
      </c>
      <c r="C2617" s="627">
        <v>291025.65000000002</v>
      </c>
      <c r="D2617" s="486">
        <v>200</v>
      </c>
      <c r="E2617" s="598">
        <v>256649.97</v>
      </c>
    </row>
    <row r="2618" spans="1:5" x14ac:dyDescent="0.2">
      <c r="A2618" s="768">
        <v>45709</v>
      </c>
      <c r="B2618" s="333">
        <f t="shared" si="53"/>
        <v>547830.63</v>
      </c>
      <c r="C2618" s="627">
        <v>290980.65999999997</v>
      </c>
      <c r="D2618" s="486">
        <v>200</v>
      </c>
      <c r="E2618" s="598">
        <v>256649.97</v>
      </c>
    </row>
    <row r="2619" spans="1:5" x14ac:dyDescent="0.2">
      <c r="A2619" s="768">
        <v>45709</v>
      </c>
      <c r="B2619" s="333">
        <f t="shared" ref="B2619:B2650" si="54">C2619+D2619+E2619</f>
        <v>547450.31000000006</v>
      </c>
      <c r="C2619" s="627">
        <v>290600.34000000003</v>
      </c>
      <c r="D2619" s="486">
        <v>200</v>
      </c>
      <c r="E2619" s="598">
        <v>256649.97</v>
      </c>
    </row>
    <row r="2620" spans="1:5" x14ac:dyDescent="0.2">
      <c r="A2620" s="768">
        <v>45709</v>
      </c>
      <c r="B2620" s="333">
        <f t="shared" si="54"/>
        <v>540835.31000000006</v>
      </c>
      <c r="C2620" s="627">
        <v>283985.34000000003</v>
      </c>
      <c r="D2620" s="486">
        <v>200</v>
      </c>
      <c r="E2620" s="598">
        <v>256649.97</v>
      </c>
    </row>
    <row r="2621" spans="1:5" x14ac:dyDescent="0.2">
      <c r="A2621" s="768">
        <v>45709</v>
      </c>
      <c r="B2621" s="333">
        <f t="shared" si="54"/>
        <v>540221.63</v>
      </c>
      <c r="C2621" s="627">
        <v>283371.65999999997</v>
      </c>
      <c r="D2621" s="486">
        <v>200</v>
      </c>
      <c r="E2621" s="598">
        <v>256649.97</v>
      </c>
    </row>
    <row r="2622" spans="1:5" x14ac:dyDescent="0.2">
      <c r="A2622" s="768">
        <v>45709</v>
      </c>
      <c r="B2622" s="333">
        <f t="shared" si="54"/>
        <v>540132.65</v>
      </c>
      <c r="C2622" s="627">
        <v>283282.68</v>
      </c>
      <c r="D2622" s="486">
        <v>200</v>
      </c>
      <c r="E2622" s="598">
        <v>256649.97</v>
      </c>
    </row>
    <row r="2623" spans="1:5" x14ac:dyDescent="0.2">
      <c r="A2623" s="768">
        <v>45709</v>
      </c>
      <c r="B2623" s="333">
        <f t="shared" si="54"/>
        <v>540060.18000000005</v>
      </c>
      <c r="C2623" s="627">
        <v>283210.21000000002</v>
      </c>
      <c r="D2623" s="486">
        <v>200</v>
      </c>
      <c r="E2623" s="598">
        <v>256649.97</v>
      </c>
    </row>
    <row r="2624" spans="1:5" x14ac:dyDescent="0.2">
      <c r="A2624" s="768">
        <v>45709</v>
      </c>
      <c r="B2624" s="333">
        <f t="shared" si="54"/>
        <v>563798.29</v>
      </c>
      <c r="C2624" s="627">
        <v>306948.32</v>
      </c>
      <c r="D2624" s="486">
        <v>200</v>
      </c>
      <c r="E2624" s="598">
        <v>256649.97</v>
      </c>
    </row>
    <row r="2625" spans="1:5" x14ac:dyDescent="0.2">
      <c r="A2625" s="768">
        <v>45712</v>
      </c>
      <c r="B2625" s="333">
        <f t="shared" si="54"/>
        <v>562950.29</v>
      </c>
      <c r="C2625" s="627">
        <v>306100.32</v>
      </c>
      <c r="D2625" s="486">
        <v>200</v>
      </c>
      <c r="E2625" s="598">
        <v>256649.97</v>
      </c>
    </row>
    <row r="2626" spans="1:5" x14ac:dyDescent="0.2">
      <c r="A2626" s="768">
        <v>45712</v>
      </c>
      <c r="B2626" s="333">
        <f t="shared" si="54"/>
        <v>561244.29</v>
      </c>
      <c r="C2626" s="627">
        <v>304394.32</v>
      </c>
      <c r="D2626" s="486">
        <v>200</v>
      </c>
      <c r="E2626" s="598">
        <v>256649.97</v>
      </c>
    </row>
    <row r="2627" spans="1:5" x14ac:dyDescent="0.2">
      <c r="A2627" s="768">
        <v>45713</v>
      </c>
      <c r="B2627" s="333">
        <f t="shared" si="54"/>
        <v>528536.19999999995</v>
      </c>
      <c r="C2627" s="627">
        <v>271686.23</v>
      </c>
      <c r="D2627" s="486">
        <v>200</v>
      </c>
      <c r="E2627" s="598">
        <v>256649.97</v>
      </c>
    </row>
    <row r="2628" spans="1:5" x14ac:dyDescent="0.2">
      <c r="A2628" s="768">
        <v>45713</v>
      </c>
      <c r="B2628" s="333">
        <f t="shared" si="54"/>
        <v>528521.19999999995</v>
      </c>
      <c r="C2628" s="627">
        <v>271671.23</v>
      </c>
      <c r="D2628" s="486">
        <v>200</v>
      </c>
      <c r="E2628" s="598">
        <v>256649.97</v>
      </c>
    </row>
    <row r="2629" spans="1:5" x14ac:dyDescent="0.2">
      <c r="A2629" s="768">
        <v>45714</v>
      </c>
      <c r="B2629" s="333">
        <f t="shared" si="54"/>
        <v>528488.51</v>
      </c>
      <c r="C2629" s="627">
        <v>271638.53999999998</v>
      </c>
      <c r="D2629" s="486">
        <v>200</v>
      </c>
      <c r="E2629" s="598">
        <v>256649.97</v>
      </c>
    </row>
    <row r="2630" spans="1:5" x14ac:dyDescent="0.2">
      <c r="A2630" s="768">
        <v>45714</v>
      </c>
      <c r="B2630" s="333">
        <f t="shared" si="54"/>
        <v>528092.85</v>
      </c>
      <c r="C2630" s="627">
        <v>271242.88</v>
      </c>
      <c r="D2630" s="486">
        <v>200</v>
      </c>
      <c r="E2630" s="598">
        <v>256649.97</v>
      </c>
    </row>
    <row r="2631" spans="1:5" x14ac:dyDescent="0.2">
      <c r="A2631" s="768">
        <v>45715</v>
      </c>
      <c r="B2631" s="333">
        <f t="shared" si="54"/>
        <v>522112.78</v>
      </c>
      <c r="C2631" s="627">
        <v>265262.81</v>
      </c>
      <c r="D2631" s="486">
        <v>200</v>
      </c>
      <c r="E2631" s="598">
        <v>256649.97</v>
      </c>
    </row>
    <row r="2632" spans="1:5" x14ac:dyDescent="0.2">
      <c r="A2632" s="768">
        <v>45715</v>
      </c>
      <c r="B2632" s="333">
        <f t="shared" si="54"/>
        <v>522302.78</v>
      </c>
      <c r="C2632" s="627">
        <v>265452.81</v>
      </c>
      <c r="D2632" s="486">
        <v>200</v>
      </c>
      <c r="E2632" s="598">
        <v>256649.97</v>
      </c>
    </row>
    <row r="2633" spans="1:5" x14ac:dyDescent="0.2">
      <c r="A2633" s="768">
        <v>45715</v>
      </c>
      <c r="B2633" s="333">
        <f t="shared" si="54"/>
        <v>522372.78</v>
      </c>
      <c r="C2633" s="627">
        <v>265522.81</v>
      </c>
      <c r="D2633" s="486">
        <v>200</v>
      </c>
      <c r="E2633" s="598">
        <v>256649.97</v>
      </c>
    </row>
    <row r="2634" spans="1:5" x14ac:dyDescent="0.2">
      <c r="A2634" s="768">
        <v>45715</v>
      </c>
      <c r="B2634" s="333">
        <f t="shared" si="54"/>
        <v>522482.78</v>
      </c>
      <c r="C2634" s="627">
        <v>265632.81</v>
      </c>
      <c r="D2634" s="486">
        <v>200</v>
      </c>
      <c r="E2634" s="598">
        <v>256649.97</v>
      </c>
    </row>
    <row r="2635" spans="1:5" x14ac:dyDescent="0.2">
      <c r="A2635" s="768">
        <v>45715</v>
      </c>
      <c r="B2635" s="333">
        <f t="shared" si="54"/>
        <v>522717.78</v>
      </c>
      <c r="C2635" s="627">
        <v>265867.81</v>
      </c>
      <c r="D2635" s="486">
        <v>200</v>
      </c>
      <c r="E2635" s="598">
        <v>256649.97</v>
      </c>
    </row>
    <row r="2636" spans="1:5" x14ac:dyDescent="0.2">
      <c r="A2636" s="768">
        <v>45715</v>
      </c>
      <c r="B2636" s="333">
        <f t="shared" si="54"/>
        <v>522722.78</v>
      </c>
      <c r="C2636" s="627">
        <v>265872.81</v>
      </c>
      <c r="D2636" s="486">
        <v>200</v>
      </c>
      <c r="E2636" s="598">
        <v>256649.97</v>
      </c>
    </row>
    <row r="2637" spans="1:5" x14ac:dyDescent="0.2">
      <c r="A2637" s="768">
        <v>45715</v>
      </c>
      <c r="B2637" s="333">
        <f t="shared" si="54"/>
        <v>522757.78</v>
      </c>
      <c r="C2637" s="627">
        <v>265907.81</v>
      </c>
      <c r="D2637" s="486">
        <v>200</v>
      </c>
      <c r="E2637" s="598">
        <v>256649.97</v>
      </c>
    </row>
    <row r="2638" spans="1:5" x14ac:dyDescent="0.2">
      <c r="A2638" s="768">
        <v>45715</v>
      </c>
      <c r="B2638" s="333">
        <f t="shared" si="54"/>
        <v>562635.17000000004</v>
      </c>
      <c r="C2638" s="627">
        <v>305785.2</v>
      </c>
      <c r="D2638" s="486">
        <v>200</v>
      </c>
      <c r="E2638" s="598">
        <v>256649.97</v>
      </c>
    </row>
    <row r="2639" spans="1:5" x14ac:dyDescent="0.2">
      <c r="A2639" s="349">
        <v>45716</v>
      </c>
      <c r="B2639" s="333">
        <f t="shared" si="54"/>
        <v>563333.79</v>
      </c>
      <c r="C2639" s="627">
        <v>305785.2</v>
      </c>
      <c r="D2639" s="486">
        <v>200</v>
      </c>
      <c r="E2639" s="598">
        <v>257348.59</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topLeftCell="A31" workbookViewId="0">
      <selection activeCell="H53" sqref="H53"/>
    </sheetView>
  </sheetViews>
  <sheetFormatPr defaultRowHeight="14.25" x14ac:dyDescent="0.2"/>
  <cols>
    <col min="1" max="1" width="2.875" style="34" customWidth="1"/>
    <col min="2" max="2" width="8.125" style="34" customWidth="1"/>
    <col min="3" max="3" width="8.75" style="34" customWidth="1"/>
    <col min="4" max="4" width="5.75" style="34" customWidth="1"/>
    <col min="5" max="5" width="2.875" style="34" customWidth="1"/>
    <col min="6" max="6" width="45.625" style="34" customWidth="1"/>
    <col min="7" max="9" width="22.375" customWidth="1"/>
    <col min="10" max="10" width="1.75" customWidth="1"/>
    <col min="11" max="11" width="22.375" customWidth="1"/>
    <col min="12" max="12" width="15.25" bestFit="1" customWidth="1"/>
    <col min="13" max="13" width="10.625" customWidth="1"/>
    <col min="15" max="15" width="10" bestFit="1" customWidth="1"/>
    <col min="17" max="17" width="11.5" bestFit="1" customWidth="1"/>
    <col min="251" max="251" width="2.875" customWidth="1"/>
    <col min="252" max="252" width="8.125" customWidth="1"/>
    <col min="253" max="253" width="8.75" customWidth="1"/>
    <col min="254" max="254" width="11" customWidth="1"/>
    <col min="255" max="255" width="2.875" customWidth="1"/>
    <col min="256" max="256" width="77.625" customWidth="1"/>
    <col min="257" max="257" width="20.875" customWidth="1"/>
    <col min="507" max="507" width="2.875" customWidth="1"/>
    <col min="508" max="508" width="8.125" customWidth="1"/>
    <col min="509" max="509" width="8.75" customWidth="1"/>
    <col min="510" max="510" width="11" customWidth="1"/>
    <col min="511" max="511" width="2.875" customWidth="1"/>
    <col min="512" max="512" width="77.625" customWidth="1"/>
    <col min="513" max="513" width="20.875" customWidth="1"/>
    <col min="763" max="763" width="2.875" customWidth="1"/>
    <col min="764" max="764" width="8.125" customWidth="1"/>
    <col min="765" max="765" width="8.75" customWidth="1"/>
    <col min="766" max="766" width="11" customWidth="1"/>
    <col min="767" max="767" width="2.875" customWidth="1"/>
    <col min="768" max="768" width="77.625" customWidth="1"/>
    <col min="769" max="769" width="20.875" customWidth="1"/>
    <col min="1019" max="1019" width="2.875" customWidth="1"/>
    <col min="1020" max="1020" width="8.125" customWidth="1"/>
    <col min="1021" max="1021" width="8.75" customWidth="1"/>
    <col min="1022" max="1022" width="11" customWidth="1"/>
    <col min="1023" max="1023" width="2.875" customWidth="1"/>
    <col min="1024" max="1024" width="77.625" customWidth="1"/>
    <col min="1025" max="1025" width="20.875" customWidth="1"/>
    <col min="1275" max="1275" width="2.875" customWidth="1"/>
    <col min="1276" max="1276" width="8.125" customWidth="1"/>
    <col min="1277" max="1277" width="8.75" customWidth="1"/>
    <col min="1278" max="1278" width="11" customWidth="1"/>
    <col min="1279" max="1279" width="2.875" customWidth="1"/>
    <col min="1280" max="1280" width="77.625" customWidth="1"/>
    <col min="1281" max="1281" width="20.875" customWidth="1"/>
    <col min="1531" max="1531" width="2.875" customWidth="1"/>
    <col min="1532" max="1532" width="8.125" customWidth="1"/>
    <col min="1533" max="1533" width="8.75" customWidth="1"/>
    <col min="1534" max="1534" width="11" customWidth="1"/>
    <col min="1535" max="1535" width="2.875" customWidth="1"/>
    <col min="1536" max="1536" width="77.625" customWidth="1"/>
    <col min="1537" max="1537" width="20.875" customWidth="1"/>
    <col min="1787" max="1787" width="2.875" customWidth="1"/>
    <col min="1788" max="1788" width="8.125" customWidth="1"/>
    <col min="1789" max="1789" width="8.75" customWidth="1"/>
    <col min="1790" max="1790" width="11" customWidth="1"/>
    <col min="1791" max="1791" width="2.875" customWidth="1"/>
    <col min="1792" max="1792" width="77.625" customWidth="1"/>
    <col min="1793" max="1793" width="20.875" customWidth="1"/>
    <col min="2043" max="2043" width="2.875" customWidth="1"/>
    <col min="2044" max="2044" width="8.125" customWidth="1"/>
    <col min="2045" max="2045" width="8.75" customWidth="1"/>
    <col min="2046" max="2046" width="11" customWidth="1"/>
    <col min="2047" max="2047" width="2.875" customWidth="1"/>
    <col min="2048" max="2048" width="77.625" customWidth="1"/>
    <col min="2049" max="2049" width="20.875" customWidth="1"/>
    <col min="2299" max="2299" width="2.875" customWidth="1"/>
    <col min="2300" max="2300" width="8.125" customWidth="1"/>
    <col min="2301" max="2301" width="8.75" customWidth="1"/>
    <col min="2302" max="2302" width="11" customWidth="1"/>
    <col min="2303" max="2303" width="2.875" customWidth="1"/>
    <col min="2304" max="2304" width="77.625" customWidth="1"/>
    <col min="2305" max="2305" width="20.875" customWidth="1"/>
    <col min="2555" max="2555" width="2.875" customWidth="1"/>
    <col min="2556" max="2556" width="8.125" customWidth="1"/>
    <col min="2557" max="2557" width="8.75" customWidth="1"/>
    <col min="2558" max="2558" width="11" customWidth="1"/>
    <col min="2559" max="2559" width="2.875" customWidth="1"/>
    <col min="2560" max="2560" width="77.625" customWidth="1"/>
    <col min="2561" max="2561" width="20.875" customWidth="1"/>
    <col min="2811" max="2811" width="2.875" customWidth="1"/>
    <col min="2812" max="2812" width="8.125" customWidth="1"/>
    <col min="2813" max="2813" width="8.75" customWidth="1"/>
    <col min="2814" max="2814" width="11" customWidth="1"/>
    <col min="2815" max="2815" width="2.875" customWidth="1"/>
    <col min="2816" max="2816" width="77.625" customWidth="1"/>
    <col min="2817" max="2817" width="20.875" customWidth="1"/>
    <col min="3067" max="3067" width="2.875" customWidth="1"/>
    <col min="3068" max="3068" width="8.125" customWidth="1"/>
    <col min="3069" max="3069" width="8.75" customWidth="1"/>
    <col min="3070" max="3070" width="11" customWidth="1"/>
    <col min="3071" max="3071" width="2.875" customWidth="1"/>
    <col min="3072" max="3072" width="77.625" customWidth="1"/>
    <col min="3073" max="3073" width="20.875" customWidth="1"/>
    <col min="3323" max="3323" width="2.875" customWidth="1"/>
    <col min="3324" max="3324" width="8.125" customWidth="1"/>
    <col min="3325" max="3325" width="8.75" customWidth="1"/>
    <col min="3326" max="3326" width="11" customWidth="1"/>
    <col min="3327" max="3327" width="2.875" customWidth="1"/>
    <col min="3328" max="3328" width="77.625" customWidth="1"/>
    <col min="3329" max="3329" width="20.875" customWidth="1"/>
    <col min="3579" max="3579" width="2.875" customWidth="1"/>
    <col min="3580" max="3580" width="8.125" customWidth="1"/>
    <col min="3581" max="3581" width="8.75" customWidth="1"/>
    <col min="3582" max="3582" width="11" customWidth="1"/>
    <col min="3583" max="3583" width="2.875" customWidth="1"/>
    <col min="3584" max="3584" width="77.625" customWidth="1"/>
    <col min="3585" max="3585" width="20.875" customWidth="1"/>
    <col min="3835" max="3835" width="2.875" customWidth="1"/>
    <col min="3836" max="3836" width="8.125" customWidth="1"/>
    <col min="3837" max="3837" width="8.75" customWidth="1"/>
    <col min="3838" max="3838" width="11" customWidth="1"/>
    <col min="3839" max="3839" width="2.875" customWidth="1"/>
    <col min="3840" max="3840" width="77.625" customWidth="1"/>
    <col min="3841" max="3841" width="20.875" customWidth="1"/>
    <col min="4091" max="4091" width="2.875" customWidth="1"/>
    <col min="4092" max="4092" width="8.125" customWidth="1"/>
    <col min="4093" max="4093" width="8.75" customWidth="1"/>
    <col min="4094" max="4094" width="11" customWidth="1"/>
    <col min="4095" max="4095" width="2.875" customWidth="1"/>
    <col min="4096" max="4096" width="77.625" customWidth="1"/>
    <col min="4097" max="4097" width="20.875" customWidth="1"/>
    <col min="4347" max="4347" width="2.875" customWidth="1"/>
    <col min="4348" max="4348" width="8.125" customWidth="1"/>
    <col min="4349" max="4349" width="8.75" customWidth="1"/>
    <col min="4350" max="4350" width="11" customWidth="1"/>
    <col min="4351" max="4351" width="2.875" customWidth="1"/>
    <col min="4352" max="4352" width="77.625" customWidth="1"/>
    <col min="4353" max="4353" width="20.875" customWidth="1"/>
    <col min="4603" max="4603" width="2.875" customWidth="1"/>
    <col min="4604" max="4604" width="8.125" customWidth="1"/>
    <col min="4605" max="4605" width="8.75" customWidth="1"/>
    <col min="4606" max="4606" width="11" customWidth="1"/>
    <col min="4607" max="4607" width="2.875" customWidth="1"/>
    <col min="4608" max="4608" width="77.625" customWidth="1"/>
    <col min="4609" max="4609" width="20.875" customWidth="1"/>
    <col min="4859" max="4859" width="2.875" customWidth="1"/>
    <col min="4860" max="4860" width="8.125" customWidth="1"/>
    <col min="4861" max="4861" width="8.75" customWidth="1"/>
    <col min="4862" max="4862" width="11" customWidth="1"/>
    <col min="4863" max="4863" width="2.875" customWidth="1"/>
    <col min="4864" max="4864" width="77.625" customWidth="1"/>
    <col min="4865" max="4865" width="20.875" customWidth="1"/>
    <col min="5115" max="5115" width="2.875" customWidth="1"/>
    <col min="5116" max="5116" width="8.125" customWidth="1"/>
    <col min="5117" max="5117" width="8.75" customWidth="1"/>
    <col min="5118" max="5118" width="11" customWidth="1"/>
    <col min="5119" max="5119" width="2.875" customWidth="1"/>
    <col min="5120" max="5120" width="77.625" customWidth="1"/>
    <col min="5121" max="5121" width="20.875" customWidth="1"/>
    <col min="5371" max="5371" width="2.875" customWidth="1"/>
    <col min="5372" max="5372" width="8.125" customWidth="1"/>
    <col min="5373" max="5373" width="8.75" customWidth="1"/>
    <col min="5374" max="5374" width="11" customWidth="1"/>
    <col min="5375" max="5375" width="2.875" customWidth="1"/>
    <col min="5376" max="5376" width="77.625" customWidth="1"/>
    <col min="5377" max="5377" width="20.875" customWidth="1"/>
    <col min="5627" max="5627" width="2.875" customWidth="1"/>
    <col min="5628" max="5628" width="8.125" customWidth="1"/>
    <col min="5629" max="5629" width="8.75" customWidth="1"/>
    <col min="5630" max="5630" width="11" customWidth="1"/>
    <col min="5631" max="5631" width="2.875" customWidth="1"/>
    <col min="5632" max="5632" width="77.625" customWidth="1"/>
    <col min="5633" max="5633" width="20.875" customWidth="1"/>
    <col min="5883" max="5883" width="2.875" customWidth="1"/>
    <col min="5884" max="5884" width="8.125" customWidth="1"/>
    <col min="5885" max="5885" width="8.75" customWidth="1"/>
    <col min="5886" max="5886" width="11" customWidth="1"/>
    <col min="5887" max="5887" width="2.875" customWidth="1"/>
    <col min="5888" max="5888" width="77.625" customWidth="1"/>
    <col min="5889" max="5889" width="20.875" customWidth="1"/>
    <col min="6139" max="6139" width="2.875" customWidth="1"/>
    <col min="6140" max="6140" width="8.125" customWidth="1"/>
    <col min="6141" max="6141" width="8.75" customWidth="1"/>
    <col min="6142" max="6142" width="11" customWidth="1"/>
    <col min="6143" max="6143" width="2.875" customWidth="1"/>
    <col min="6144" max="6144" width="77.625" customWidth="1"/>
    <col min="6145" max="6145" width="20.875" customWidth="1"/>
    <col min="6395" max="6395" width="2.875" customWidth="1"/>
    <col min="6396" max="6396" width="8.125" customWidth="1"/>
    <col min="6397" max="6397" width="8.75" customWidth="1"/>
    <col min="6398" max="6398" width="11" customWidth="1"/>
    <col min="6399" max="6399" width="2.875" customWidth="1"/>
    <col min="6400" max="6400" width="77.625" customWidth="1"/>
    <col min="6401" max="6401" width="20.875" customWidth="1"/>
    <col min="6651" max="6651" width="2.875" customWidth="1"/>
    <col min="6652" max="6652" width="8.125" customWidth="1"/>
    <col min="6653" max="6653" width="8.75" customWidth="1"/>
    <col min="6654" max="6654" width="11" customWidth="1"/>
    <col min="6655" max="6655" width="2.875" customWidth="1"/>
    <col min="6656" max="6656" width="77.625" customWidth="1"/>
    <col min="6657" max="6657" width="20.875" customWidth="1"/>
    <col min="6907" max="6907" width="2.875" customWidth="1"/>
    <col min="6908" max="6908" width="8.125" customWidth="1"/>
    <col min="6909" max="6909" width="8.75" customWidth="1"/>
    <col min="6910" max="6910" width="11" customWidth="1"/>
    <col min="6911" max="6911" width="2.875" customWidth="1"/>
    <col min="6912" max="6912" width="77.625" customWidth="1"/>
    <col min="6913" max="6913" width="20.875" customWidth="1"/>
    <col min="7163" max="7163" width="2.875" customWidth="1"/>
    <col min="7164" max="7164" width="8.125" customWidth="1"/>
    <col min="7165" max="7165" width="8.75" customWidth="1"/>
    <col min="7166" max="7166" width="11" customWidth="1"/>
    <col min="7167" max="7167" width="2.875" customWidth="1"/>
    <col min="7168" max="7168" width="77.625" customWidth="1"/>
    <col min="7169" max="7169" width="20.875" customWidth="1"/>
    <col min="7419" max="7419" width="2.875" customWidth="1"/>
    <col min="7420" max="7420" width="8.125" customWidth="1"/>
    <col min="7421" max="7421" width="8.75" customWidth="1"/>
    <col min="7422" max="7422" width="11" customWidth="1"/>
    <col min="7423" max="7423" width="2.875" customWidth="1"/>
    <col min="7424" max="7424" width="77.625" customWidth="1"/>
    <col min="7425" max="7425" width="20.875" customWidth="1"/>
    <col min="7675" max="7675" width="2.875" customWidth="1"/>
    <col min="7676" max="7676" width="8.125" customWidth="1"/>
    <col min="7677" max="7677" width="8.75" customWidth="1"/>
    <col min="7678" max="7678" width="11" customWidth="1"/>
    <col min="7679" max="7679" width="2.875" customWidth="1"/>
    <col min="7680" max="7680" width="77.625" customWidth="1"/>
    <col min="7681" max="7681" width="20.875" customWidth="1"/>
    <col min="7931" max="7931" width="2.875" customWidth="1"/>
    <col min="7932" max="7932" width="8.125" customWidth="1"/>
    <col min="7933" max="7933" width="8.75" customWidth="1"/>
    <col min="7934" max="7934" width="11" customWidth="1"/>
    <col min="7935" max="7935" width="2.875" customWidth="1"/>
    <col min="7936" max="7936" width="77.625" customWidth="1"/>
    <col min="7937" max="7937" width="20.875" customWidth="1"/>
    <col min="8187" max="8187" width="2.875" customWidth="1"/>
    <col min="8188" max="8188" width="8.125" customWidth="1"/>
    <col min="8189" max="8189" width="8.75" customWidth="1"/>
    <col min="8190" max="8190" width="11" customWidth="1"/>
    <col min="8191" max="8191" width="2.875" customWidth="1"/>
    <col min="8192" max="8192" width="77.625" customWidth="1"/>
    <col min="8193" max="8193" width="20.875" customWidth="1"/>
    <col min="8443" max="8443" width="2.875" customWidth="1"/>
    <col min="8444" max="8444" width="8.125" customWidth="1"/>
    <col min="8445" max="8445" width="8.75" customWidth="1"/>
    <col min="8446" max="8446" width="11" customWidth="1"/>
    <col min="8447" max="8447" width="2.875" customWidth="1"/>
    <col min="8448" max="8448" width="77.625" customWidth="1"/>
    <col min="8449" max="8449" width="20.875" customWidth="1"/>
    <col min="8699" max="8699" width="2.875" customWidth="1"/>
    <col min="8700" max="8700" width="8.125" customWidth="1"/>
    <col min="8701" max="8701" width="8.75" customWidth="1"/>
    <col min="8702" max="8702" width="11" customWidth="1"/>
    <col min="8703" max="8703" width="2.875" customWidth="1"/>
    <col min="8704" max="8704" width="77.625" customWidth="1"/>
    <col min="8705" max="8705" width="20.875" customWidth="1"/>
    <col min="8955" max="8955" width="2.875" customWidth="1"/>
    <col min="8956" max="8956" width="8.125" customWidth="1"/>
    <col min="8957" max="8957" width="8.75" customWidth="1"/>
    <col min="8958" max="8958" width="11" customWidth="1"/>
    <col min="8959" max="8959" width="2.875" customWidth="1"/>
    <col min="8960" max="8960" width="77.625" customWidth="1"/>
    <col min="8961" max="8961" width="20.875" customWidth="1"/>
    <col min="9211" max="9211" width="2.875" customWidth="1"/>
    <col min="9212" max="9212" width="8.125" customWidth="1"/>
    <col min="9213" max="9213" width="8.75" customWidth="1"/>
    <col min="9214" max="9214" width="11" customWidth="1"/>
    <col min="9215" max="9215" width="2.875" customWidth="1"/>
    <col min="9216" max="9216" width="77.625" customWidth="1"/>
    <col min="9217" max="9217" width="20.875" customWidth="1"/>
    <col min="9467" max="9467" width="2.875" customWidth="1"/>
    <col min="9468" max="9468" width="8.125" customWidth="1"/>
    <col min="9469" max="9469" width="8.75" customWidth="1"/>
    <col min="9470" max="9470" width="11" customWidth="1"/>
    <col min="9471" max="9471" width="2.875" customWidth="1"/>
    <col min="9472" max="9472" width="77.625" customWidth="1"/>
    <col min="9473" max="9473" width="20.875" customWidth="1"/>
    <col min="9723" max="9723" width="2.875" customWidth="1"/>
    <col min="9724" max="9724" width="8.125" customWidth="1"/>
    <col min="9725" max="9725" width="8.75" customWidth="1"/>
    <col min="9726" max="9726" width="11" customWidth="1"/>
    <col min="9727" max="9727" width="2.875" customWidth="1"/>
    <col min="9728" max="9728" width="77.625" customWidth="1"/>
    <col min="9729" max="9729" width="20.875" customWidth="1"/>
    <col min="9979" max="9979" width="2.875" customWidth="1"/>
    <col min="9980" max="9980" width="8.125" customWidth="1"/>
    <col min="9981" max="9981" width="8.75" customWidth="1"/>
    <col min="9982" max="9982" width="11" customWidth="1"/>
    <col min="9983" max="9983" width="2.875" customWidth="1"/>
    <col min="9984" max="9984" width="77.625" customWidth="1"/>
    <col min="9985" max="9985" width="20.875" customWidth="1"/>
    <col min="10235" max="10235" width="2.875" customWidth="1"/>
    <col min="10236" max="10236" width="8.125" customWidth="1"/>
    <col min="10237" max="10237" width="8.75" customWidth="1"/>
    <col min="10238" max="10238" width="11" customWidth="1"/>
    <col min="10239" max="10239" width="2.875" customWidth="1"/>
    <col min="10240" max="10240" width="77.625" customWidth="1"/>
    <col min="10241" max="10241" width="20.875" customWidth="1"/>
    <col min="10491" max="10491" width="2.875" customWidth="1"/>
    <col min="10492" max="10492" width="8.125" customWidth="1"/>
    <col min="10493" max="10493" width="8.75" customWidth="1"/>
    <col min="10494" max="10494" width="11" customWidth="1"/>
    <col min="10495" max="10495" width="2.875" customWidth="1"/>
    <col min="10496" max="10496" width="77.625" customWidth="1"/>
    <col min="10497" max="10497" width="20.875" customWidth="1"/>
    <col min="10747" max="10747" width="2.875" customWidth="1"/>
    <col min="10748" max="10748" width="8.125" customWidth="1"/>
    <col min="10749" max="10749" width="8.75" customWidth="1"/>
    <col min="10750" max="10750" width="11" customWidth="1"/>
    <col min="10751" max="10751" width="2.875" customWidth="1"/>
    <col min="10752" max="10752" width="77.625" customWidth="1"/>
    <col min="10753" max="10753" width="20.875" customWidth="1"/>
    <col min="11003" max="11003" width="2.875" customWidth="1"/>
    <col min="11004" max="11004" width="8.125" customWidth="1"/>
    <col min="11005" max="11005" width="8.75" customWidth="1"/>
    <col min="11006" max="11006" width="11" customWidth="1"/>
    <col min="11007" max="11007" width="2.875" customWidth="1"/>
    <col min="11008" max="11008" width="77.625" customWidth="1"/>
    <col min="11009" max="11009" width="20.875" customWidth="1"/>
    <col min="11259" max="11259" width="2.875" customWidth="1"/>
    <col min="11260" max="11260" width="8.125" customWidth="1"/>
    <col min="11261" max="11261" width="8.75" customWidth="1"/>
    <col min="11262" max="11262" width="11" customWidth="1"/>
    <col min="11263" max="11263" width="2.875" customWidth="1"/>
    <col min="11264" max="11264" width="77.625" customWidth="1"/>
    <col min="11265" max="11265" width="20.875" customWidth="1"/>
    <col min="11515" max="11515" width="2.875" customWidth="1"/>
    <col min="11516" max="11516" width="8.125" customWidth="1"/>
    <col min="11517" max="11517" width="8.75" customWidth="1"/>
    <col min="11518" max="11518" width="11" customWidth="1"/>
    <col min="11519" max="11519" width="2.875" customWidth="1"/>
    <col min="11520" max="11520" width="77.625" customWidth="1"/>
    <col min="11521" max="11521" width="20.875" customWidth="1"/>
    <col min="11771" max="11771" width="2.875" customWidth="1"/>
    <col min="11772" max="11772" width="8.125" customWidth="1"/>
    <col min="11773" max="11773" width="8.75" customWidth="1"/>
    <col min="11774" max="11774" width="11" customWidth="1"/>
    <col min="11775" max="11775" width="2.875" customWidth="1"/>
    <col min="11776" max="11776" width="77.625" customWidth="1"/>
    <col min="11777" max="11777" width="20.875" customWidth="1"/>
    <col min="12027" max="12027" width="2.875" customWidth="1"/>
    <col min="12028" max="12028" width="8.125" customWidth="1"/>
    <col min="12029" max="12029" width="8.75" customWidth="1"/>
    <col min="12030" max="12030" width="11" customWidth="1"/>
    <col min="12031" max="12031" width="2.875" customWidth="1"/>
    <col min="12032" max="12032" width="77.625" customWidth="1"/>
    <col min="12033" max="12033" width="20.875" customWidth="1"/>
    <col min="12283" max="12283" width="2.875" customWidth="1"/>
    <col min="12284" max="12284" width="8.125" customWidth="1"/>
    <col min="12285" max="12285" width="8.75" customWidth="1"/>
    <col min="12286" max="12286" width="11" customWidth="1"/>
    <col min="12287" max="12287" width="2.875" customWidth="1"/>
    <col min="12288" max="12288" width="77.625" customWidth="1"/>
    <col min="12289" max="12289" width="20.875" customWidth="1"/>
    <col min="12539" max="12539" width="2.875" customWidth="1"/>
    <col min="12540" max="12540" width="8.125" customWidth="1"/>
    <col min="12541" max="12541" width="8.75" customWidth="1"/>
    <col min="12542" max="12542" width="11" customWidth="1"/>
    <col min="12543" max="12543" width="2.875" customWidth="1"/>
    <col min="12544" max="12544" width="77.625" customWidth="1"/>
    <col min="12545" max="12545" width="20.875" customWidth="1"/>
    <col min="12795" max="12795" width="2.875" customWidth="1"/>
    <col min="12796" max="12796" width="8.125" customWidth="1"/>
    <col min="12797" max="12797" width="8.75" customWidth="1"/>
    <col min="12798" max="12798" width="11" customWidth="1"/>
    <col min="12799" max="12799" width="2.875" customWidth="1"/>
    <col min="12800" max="12800" width="77.625" customWidth="1"/>
    <col min="12801" max="12801" width="20.875" customWidth="1"/>
    <col min="13051" max="13051" width="2.875" customWidth="1"/>
    <col min="13052" max="13052" width="8.125" customWidth="1"/>
    <col min="13053" max="13053" width="8.75" customWidth="1"/>
    <col min="13054" max="13054" width="11" customWidth="1"/>
    <col min="13055" max="13055" width="2.875" customWidth="1"/>
    <col min="13056" max="13056" width="77.625" customWidth="1"/>
    <col min="13057" max="13057" width="20.875" customWidth="1"/>
    <col min="13307" max="13307" width="2.875" customWidth="1"/>
    <col min="13308" max="13308" width="8.125" customWidth="1"/>
    <col min="13309" max="13309" width="8.75" customWidth="1"/>
    <col min="13310" max="13310" width="11" customWidth="1"/>
    <col min="13311" max="13311" width="2.875" customWidth="1"/>
    <col min="13312" max="13312" width="77.625" customWidth="1"/>
    <col min="13313" max="13313" width="20.875" customWidth="1"/>
    <col min="13563" max="13563" width="2.875" customWidth="1"/>
    <col min="13564" max="13564" width="8.125" customWidth="1"/>
    <col min="13565" max="13565" width="8.75" customWidth="1"/>
    <col min="13566" max="13566" width="11" customWidth="1"/>
    <col min="13567" max="13567" width="2.875" customWidth="1"/>
    <col min="13568" max="13568" width="77.625" customWidth="1"/>
    <col min="13569" max="13569" width="20.875" customWidth="1"/>
    <col min="13819" max="13819" width="2.875" customWidth="1"/>
    <col min="13820" max="13820" width="8.125" customWidth="1"/>
    <col min="13821" max="13821" width="8.75" customWidth="1"/>
    <col min="13822" max="13822" width="11" customWidth="1"/>
    <col min="13823" max="13823" width="2.875" customWidth="1"/>
    <col min="13824" max="13824" width="77.625" customWidth="1"/>
    <col min="13825" max="13825" width="20.875" customWidth="1"/>
    <col min="14075" max="14075" width="2.875" customWidth="1"/>
    <col min="14076" max="14076" width="8.125" customWidth="1"/>
    <col min="14077" max="14077" width="8.75" customWidth="1"/>
    <col min="14078" max="14078" width="11" customWidth="1"/>
    <col min="14079" max="14079" width="2.875" customWidth="1"/>
    <col min="14080" max="14080" width="77.625" customWidth="1"/>
    <col min="14081" max="14081" width="20.875" customWidth="1"/>
    <col min="14331" max="14331" width="2.875" customWidth="1"/>
    <col min="14332" max="14332" width="8.125" customWidth="1"/>
    <col min="14333" max="14333" width="8.75" customWidth="1"/>
    <col min="14334" max="14334" width="11" customWidth="1"/>
    <col min="14335" max="14335" width="2.875" customWidth="1"/>
    <col min="14336" max="14336" width="77.625" customWidth="1"/>
    <col min="14337" max="14337" width="20.875" customWidth="1"/>
    <col min="14587" max="14587" width="2.875" customWidth="1"/>
    <col min="14588" max="14588" width="8.125" customWidth="1"/>
    <col min="14589" max="14589" width="8.75" customWidth="1"/>
    <col min="14590" max="14590" width="11" customWidth="1"/>
    <col min="14591" max="14591" width="2.875" customWidth="1"/>
    <col min="14592" max="14592" width="77.625" customWidth="1"/>
    <col min="14593" max="14593" width="20.875" customWidth="1"/>
    <col min="14843" max="14843" width="2.875" customWidth="1"/>
    <col min="14844" max="14844" width="8.125" customWidth="1"/>
    <col min="14845" max="14845" width="8.75" customWidth="1"/>
    <col min="14846" max="14846" width="11" customWidth="1"/>
    <col min="14847" max="14847" width="2.875" customWidth="1"/>
    <col min="14848" max="14848" width="77.625" customWidth="1"/>
    <col min="14849" max="14849" width="20.875" customWidth="1"/>
    <col min="15099" max="15099" width="2.875" customWidth="1"/>
    <col min="15100" max="15100" width="8.125" customWidth="1"/>
    <col min="15101" max="15101" width="8.75" customWidth="1"/>
    <col min="15102" max="15102" width="11" customWidth="1"/>
    <col min="15103" max="15103" width="2.875" customWidth="1"/>
    <col min="15104" max="15104" width="77.625" customWidth="1"/>
    <col min="15105" max="15105" width="20.875" customWidth="1"/>
    <col min="15355" max="15355" width="2.875" customWidth="1"/>
    <col min="15356" max="15356" width="8.125" customWidth="1"/>
    <col min="15357" max="15357" width="8.75" customWidth="1"/>
    <col min="15358" max="15358" width="11" customWidth="1"/>
    <col min="15359" max="15359" width="2.875" customWidth="1"/>
    <col min="15360" max="15360" width="77.625" customWidth="1"/>
    <col min="15361" max="15361" width="20.875" customWidth="1"/>
    <col min="15611" max="15611" width="2.875" customWidth="1"/>
    <col min="15612" max="15612" width="8.125" customWidth="1"/>
    <col min="15613" max="15613" width="8.75" customWidth="1"/>
    <col min="15614" max="15614" width="11" customWidth="1"/>
    <col min="15615" max="15615" width="2.875" customWidth="1"/>
    <col min="15616" max="15616" width="77.625" customWidth="1"/>
    <col min="15617" max="15617" width="20.875" customWidth="1"/>
    <col min="15867" max="15867" width="2.875" customWidth="1"/>
    <col min="15868" max="15868" width="8.125" customWidth="1"/>
    <col min="15869" max="15869" width="8.75" customWidth="1"/>
    <col min="15870" max="15870" width="11" customWidth="1"/>
    <col min="15871" max="15871" width="2.875" customWidth="1"/>
    <col min="15872" max="15872" width="77.625" customWidth="1"/>
    <col min="15873" max="15873" width="20.875" customWidth="1"/>
    <col min="16123" max="16123" width="2.875" customWidth="1"/>
    <col min="16124" max="16124" width="8.125" customWidth="1"/>
    <col min="16125" max="16125" width="8.75" customWidth="1"/>
    <col min="16126" max="16126" width="11" customWidth="1"/>
    <col min="16127" max="16127" width="2.875" customWidth="1"/>
    <col min="16128" max="16128" width="77.625" customWidth="1"/>
    <col min="16129" max="16129" width="20.875" customWidth="1"/>
  </cols>
  <sheetData>
    <row r="1" spans="1:13" ht="22.5" customHeight="1" x14ac:dyDescent="0.4">
      <c r="A1" s="35" t="s">
        <v>90</v>
      </c>
      <c r="B1" s="36"/>
      <c r="C1" s="37"/>
      <c r="D1" s="37"/>
      <c r="E1" s="37"/>
      <c r="F1" s="36"/>
      <c r="G1" s="36"/>
      <c r="H1" s="36"/>
      <c r="I1" s="36"/>
      <c r="J1" s="36"/>
      <c r="K1" s="36"/>
      <c r="L1" s="36"/>
      <c r="M1" s="36"/>
    </row>
    <row r="2" spans="1:13" ht="22.5" customHeight="1" x14ac:dyDescent="0.4">
      <c r="A2" s="35" t="s">
        <v>390</v>
      </c>
      <c r="B2" s="36"/>
      <c r="C2" s="37"/>
      <c r="D2" s="37"/>
      <c r="E2" s="37"/>
      <c r="F2" s="36"/>
      <c r="G2" s="36"/>
      <c r="H2" s="36"/>
      <c r="I2" s="36"/>
      <c r="J2" s="36"/>
      <c r="K2" s="36"/>
      <c r="L2" s="36"/>
      <c r="M2" s="36"/>
    </row>
    <row r="3" spans="1:13" ht="22.5" customHeight="1" x14ac:dyDescent="0.4">
      <c r="A3" s="35" t="s">
        <v>391</v>
      </c>
      <c r="B3" s="36"/>
      <c r="C3" s="37"/>
      <c r="D3" s="37"/>
      <c r="E3" s="37"/>
      <c r="F3" s="36"/>
      <c r="G3" s="36"/>
      <c r="H3" s="36"/>
      <c r="I3" s="36"/>
      <c r="J3" s="36"/>
      <c r="K3" s="36"/>
      <c r="L3" s="36"/>
      <c r="M3" s="36"/>
    </row>
    <row r="4" spans="1:13" s="39" customFormat="1" ht="8.25" customHeight="1" thickBot="1" x14ac:dyDescent="0.25">
      <c r="A4" s="38"/>
      <c r="B4" s="38"/>
      <c r="C4" s="38"/>
      <c r="D4" s="38"/>
      <c r="E4" s="38"/>
      <c r="F4" s="38"/>
    </row>
    <row r="5" spans="1:13" s="42" customFormat="1" ht="24.75" customHeight="1" thickTop="1" thickBot="1" x14ac:dyDescent="0.25">
      <c r="A5" s="40" t="s">
        <v>104</v>
      </c>
      <c r="B5" s="40"/>
      <c r="C5" s="40"/>
      <c r="D5" s="40"/>
      <c r="E5" s="40"/>
      <c r="F5" s="40"/>
      <c r="G5" s="790" t="s">
        <v>46</v>
      </c>
      <c r="H5" s="790"/>
      <c r="I5" s="790"/>
      <c r="J5" s="790"/>
      <c r="K5" s="790"/>
      <c r="L5" s="277" t="s">
        <v>176</v>
      </c>
      <c r="M5" s="274" t="s">
        <v>188</v>
      </c>
    </row>
    <row r="6" spans="1:13" s="44" customFormat="1" ht="8.25" customHeight="1" thickTop="1" x14ac:dyDescent="0.2">
      <c r="A6" s="43"/>
      <c r="B6" s="43"/>
      <c r="C6" s="43"/>
      <c r="D6" s="43"/>
      <c r="E6" s="43"/>
      <c r="F6" s="43"/>
    </row>
    <row r="7" spans="1:13" s="44" customFormat="1" ht="75.75" customHeight="1" thickBot="1" x14ac:dyDescent="0.25">
      <c r="A7" s="43"/>
      <c r="B7" s="55" t="s">
        <v>96</v>
      </c>
      <c r="C7" s="55"/>
      <c r="D7" s="55"/>
      <c r="E7" s="55"/>
      <c r="F7" s="55"/>
      <c r="G7" s="483" t="s">
        <v>387</v>
      </c>
      <c r="H7" s="484" t="s">
        <v>388</v>
      </c>
      <c r="I7" s="484" t="s">
        <v>392</v>
      </c>
      <c r="J7" s="484"/>
      <c r="K7" s="483" t="s">
        <v>393</v>
      </c>
      <c r="L7" s="791" t="s">
        <v>394</v>
      </c>
      <c r="M7" s="791"/>
    </row>
    <row r="8" spans="1:13" s="44" customFormat="1" ht="20.25" x14ac:dyDescent="0.2">
      <c r="A8" s="43"/>
      <c r="B8" s="43"/>
      <c r="C8" s="47" t="s">
        <v>97</v>
      </c>
      <c r="D8" s="47"/>
      <c r="E8" s="47"/>
      <c r="F8" s="43"/>
      <c r="G8" s="160">
        <v>360098</v>
      </c>
      <c r="H8" s="160">
        <v>315760.04333000001</v>
      </c>
      <c r="I8" s="160">
        <v>675858.04333000001</v>
      </c>
      <c r="J8" s="160"/>
      <c r="K8" s="160">
        <v>811777</v>
      </c>
      <c r="L8" s="261">
        <v>-135918.95666999999</v>
      </c>
      <c r="M8" s="275">
        <v>-0.16743386012414738</v>
      </c>
    </row>
    <row r="9" spans="1:13" s="44" customFormat="1" ht="20.25" x14ac:dyDescent="0.2">
      <c r="A9" s="43"/>
      <c r="B9" s="43"/>
      <c r="C9" s="47" t="s">
        <v>146</v>
      </c>
      <c r="D9" s="47"/>
      <c r="E9" s="47"/>
      <c r="F9" s="43"/>
      <c r="G9" s="151">
        <v>41504</v>
      </c>
      <c r="H9" s="151">
        <v>25300</v>
      </c>
      <c r="I9" s="151">
        <v>66804</v>
      </c>
      <c r="J9" s="151"/>
      <c r="K9" s="151">
        <v>175000</v>
      </c>
      <c r="L9" s="337">
        <v>-108196</v>
      </c>
      <c r="M9" s="275">
        <v>-0.61826285714285711</v>
      </c>
    </row>
    <row r="10" spans="1:13" s="44" customFormat="1" ht="20.25" x14ac:dyDescent="0.2">
      <c r="A10" s="43"/>
      <c r="B10" s="43"/>
      <c r="C10" s="47" t="s">
        <v>174</v>
      </c>
      <c r="D10" s="47"/>
      <c r="E10" s="47"/>
      <c r="F10" s="43"/>
      <c r="G10" s="151">
        <v>14147</v>
      </c>
      <c r="H10" s="151">
        <v>24011.0864</v>
      </c>
      <c r="I10" s="151">
        <v>38158.0864</v>
      </c>
      <c r="J10" s="151"/>
      <c r="K10" s="151">
        <v>49619</v>
      </c>
      <c r="L10" s="337">
        <v>-11460.9136</v>
      </c>
      <c r="M10" s="275">
        <v>-0.23097832685060157</v>
      </c>
    </row>
    <row r="11" spans="1:13" s="44" customFormat="1" ht="20.25" x14ac:dyDescent="0.2">
      <c r="A11" s="43"/>
      <c r="B11" s="43"/>
      <c r="C11" s="47" t="s">
        <v>98</v>
      </c>
      <c r="D11" s="47"/>
      <c r="E11" s="47"/>
      <c r="F11" s="43"/>
      <c r="G11" s="151"/>
      <c r="H11" s="151"/>
      <c r="I11" s="151">
        <v>0</v>
      </c>
      <c r="J11" s="151"/>
      <c r="K11" s="151"/>
      <c r="L11" s="337"/>
      <c r="M11" s="275"/>
    </row>
    <row r="12" spans="1:13" s="44" customFormat="1" ht="20.25" x14ac:dyDescent="0.2">
      <c r="A12" s="43"/>
      <c r="B12" s="43"/>
      <c r="D12" s="47" t="s">
        <v>135</v>
      </c>
      <c r="E12" s="47"/>
      <c r="F12" s="43"/>
      <c r="G12" s="151">
        <v>103487</v>
      </c>
      <c r="H12" s="151">
        <v>87197.56</v>
      </c>
      <c r="I12" s="151">
        <v>190684.56</v>
      </c>
      <c r="J12" s="151"/>
      <c r="K12" s="151">
        <v>196175</v>
      </c>
      <c r="L12" s="337">
        <v>-5490.4400000000023</v>
      </c>
      <c r="M12" s="275">
        <v>-2.7987460175863399E-2</v>
      </c>
    </row>
    <row r="13" spans="1:13" s="44" customFormat="1" ht="20.25" x14ac:dyDescent="0.2">
      <c r="A13" s="43"/>
      <c r="B13" s="43"/>
      <c r="D13" s="47" t="s">
        <v>154</v>
      </c>
      <c r="E13" s="47"/>
      <c r="F13" s="43"/>
      <c r="G13" s="151">
        <v>9000</v>
      </c>
      <c r="H13" s="151">
        <v>9000</v>
      </c>
      <c r="I13" s="151">
        <v>18000</v>
      </c>
      <c r="J13" s="151"/>
      <c r="K13" s="151">
        <v>18000</v>
      </c>
      <c r="L13" s="337">
        <v>0</v>
      </c>
      <c r="M13" s="275">
        <v>0</v>
      </c>
    </row>
    <row r="14" spans="1:13" s="44" customFormat="1" ht="20.25" x14ac:dyDescent="0.2">
      <c r="A14" s="43"/>
      <c r="B14" s="43"/>
      <c r="C14" s="47"/>
      <c r="D14" s="47" t="s">
        <v>383</v>
      </c>
      <c r="E14" s="47"/>
      <c r="F14" s="43"/>
      <c r="G14" s="151">
        <v>48393</v>
      </c>
      <c r="H14" s="151">
        <v>58479.097600000001</v>
      </c>
      <c r="I14" s="151">
        <v>106872.09760000001</v>
      </c>
      <c r="J14" s="151"/>
      <c r="K14" s="151">
        <v>169400</v>
      </c>
      <c r="L14" s="337">
        <v>-62527.902399999992</v>
      </c>
      <c r="M14" s="275">
        <v>-0.36911394569067291</v>
      </c>
    </row>
    <row r="15" spans="1:13" s="44" customFormat="1" ht="20.25" x14ac:dyDescent="0.2">
      <c r="A15" s="43"/>
      <c r="B15" s="43"/>
      <c r="C15" s="47" t="s">
        <v>359</v>
      </c>
      <c r="D15" s="47"/>
      <c r="E15" s="47"/>
      <c r="F15" s="43"/>
      <c r="G15" s="151">
        <v>5140</v>
      </c>
      <c r="H15" s="151">
        <v>5045</v>
      </c>
      <c r="I15" s="151">
        <v>10185</v>
      </c>
      <c r="J15" s="151"/>
      <c r="K15" s="151">
        <v>17000</v>
      </c>
      <c r="L15" s="337">
        <v>-6815</v>
      </c>
      <c r="M15" s="275">
        <v>-0.40088235294117647</v>
      </c>
    </row>
    <row r="16" spans="1:13" s="44" customFormat="1" ht="20.25" x14ac:dyDescent="0.2">
      <c r="A16" s="43"/>
      <c r="B16" s="43"/>
      <c r="C16" s="47" t="s">
        <v>106</v>
      </c>
      <c r="D16" s="47"/>
      <c r="E16" s="47"/>
      <c r="F16" s="43"/>
      <c r="G16" s="151">
        <v>701</v>
      </c>
      <c r="H16" s="151">
        <v>592.29</v>
      </c>
      <c r="I16" s="151">
        <v>1293.29</v>
      </c>
      <c r="J16" s="151"/>
      <c r="K16" s="151">
        <v>1200</v>
      </c>
      <c r="L16" s="337">
        <v>93.289999999999964</v>
      </c>
      <c r="M16" s="275">
        <v>7.7741666666666639E-2</v>
      </c>
    </row>
    <row r="17" spans="2:13" s="44" customFormat="1" ht="20.25" x14ac:dyDescent="0.2">
      <c r="B17" s="43"/>
      <c r="C17" s="47" t="s">
        <v>230</v>
      </c>
      <c r="D17" s="47"/>
      <c r="E17" s="47"/>
      <c r="F17" s="43"/>
      <c r="G17" s="151">
        <v>2152</v>
      </c>
      <c r="H17" s="151">
        <v>1900</v>
      </c>
      <c r="I17" s="151">
        <v>4052</v>
      </c>
      <c r="J17" s="151"/>
      <c r="K17" s="151">
        <v>4200</v>
      </c>
      <c r="L17" s="337">
        <v>-148</v>
      </c>
      <c r="M17" s="275">
        <v>-3.5238095238095235E-2</v>
      </c>
    </row>
    <row r="18" spans="2:13" s="44" customFormat="1" ht="20.25" x14ac:dyDescent="0.2">
      <c r="B18" s="43"/>
      <c r="C18" s="47" t="s">
        <v>307</v>
      </c>
      <c r="D18" s="47"/>
      <c r="E18" s="47"/>
      <c r="F18" s="43"/>
      <c r="G18" s="151">
        <v>-2942</v>
      </c>
      <c r="H18" s="151">
        <v>0</v>
      </c>
      <c r="I18" s="151">
        <v>-2942</v>
      </c>
      <c r="J18" s="151"/>
      <c r="K18" s="151">
        <v>1500</v>
      </c>
      <c r="L18" s="337">
        <v>-4442</v>
      </c>
      <c r="M18" s="275">
        <v>-2.9613333333333332</v>
      </c>
    </row>
    <row r="19" spans="2:13" s="44" customFormat="1" ht="20.25" x14ac:dyDescent="0.2">
      <c r="B19" s="43"/>
      <c r="C19" s="47" t="s">
        <v>395</v>
      </c>
      <c r="D19" s="47"/>
      <c r="E19" s="47"/>
      <c r="F19" s="43"/>
      <c r="G19" s="151"/>
      <c r="H19" s="151"/>
      <c r="I19" s="151">
        <v>0</v>
      </c>
      <c r="J19" s="151"/>
      <c r="K19" s="151"/>
      <c r="L19" s="337">
        <v>0</v>
      </c>
      <c r="M19" s="275"/>
    </row>
    <row r="20" spans="2:13" s="44" customFormat="1" ht="20.25" x14ac:dyDescent="0.2">
      <c r="B20" s="43"/>
      <c r="C20" s="47"/>
      <c r="D20" s="47" t="s">
        <v>10</v>
      </c>
      <c r="E20" s="47"/>
      <c r="F20" s="43"/>
      <c r="G20" s="151">
        <v>15479.72</v>
      </c>
      <c r="H20" s="151">
        <v>16194.880000000001</v>
      </c>
      <c r="I20" s="151">
        <v>31674.6</v>
      </c>
      <c r="J20" s="151"/>
      <c r="K20" s="151">
        <v>29543</v>
      </c>
      <c r="L20" s="337">
        <v>2131.5999999999985</v>
      </c>
      <c r="M20" s="275">
        <v>7.2152455742477015E-2</v>
      </c>
    </row>
    <row r="21" spans="2:13" s="44" customFormat="1" ht="20.25" x14ac:dyDescent="0.2">
      <c r="B21" s="43"/>
      <c r="C21" s="47"/>
      <c r="D21" s="47" t="s">
        <v>377</v>
      </c>
      <c r="E21" s="47"/>
      <c r="F21" s="47"/>
      <c r="G21" s="151">
        <v>4073</v>
      </c>
      <c r="H21" s="151">
        <v>1960.0200000000002</v>
      </c>
      <c r="I21" s="151">
        <v>6033.02</v>
      </c>
      <c r="J21" s="151"/>
      <c r="K21" s="151">
        <v>5000</v>
      </c>
      <c r="L21" s="337">
        <v>1033.0200000000004</v>
      </c>
      <c r="M21" s="275">
        <v>0.20660400000000009</v>
      </c>
    </row>
    <row r="22" spans="2:13" s="44" customFormat="1" ht="20.25" x14ac:dyDescent="0.2">
      <c r="B22" s="43"/>
      <c r="C22" s="481"/>
      <c r="D22" s="47" t="s">
        <v>15</v>
      </c>
      <c r="E22" s="481"/>
      <c r="F22" s="481"/>
      <c r="G22" s="151">
        <v>25000</v>
      </c>
      <c r="H22" s="151">
        <v>25000</v>
      </c>
      <c r="I22" s="151">
        <v>50000</v>
      </c>
      <c r="J22" s="151"/>
      <c r="K22" s="151">
        <v>50000</v>
      </c>
      <c r="L22" s="337">
        <v>0</v>
      </c>
      <c r="M22" s="275">
        <v>0</v>
      </c>
    </row>
    <row r="23" spans="2:13" s="44" customFormat="1" ht="20.25" x14ac:dyDescent="0.2">
      <c r="B23" s="43"/>
      <c r="C23" s="481"/>
      <c r="D23" s="47" t="s">
        <v>396</v>
      </c>
      <c r="E23" s="481"/>
      <c r="F23" s="481"/>
      <c r="G23" s="151">
        <v>15000</v>
      </c>
      <c r="H23" s="151">
        <v>0</v>
      </c>
      <c r="I23" s="151">
        <v>15000</v>
      </c>
      <c r="J23" s="151"/>
      <c r="K23" s="151">
        <v>0</v>
      </c>
      <c r="L23" s="337">
        <v>15000</v>
      </c>
      <c r="M23" s="275"/>
    </row>
    <row r="24" spans="2:13" s="44" customFormat="1" ht="20.25" x14ac:dyDescent="0.2">
      <c r="B24" s="43"/>
      <c r="C24" s="481"/>
      <c r="D24" s="47" t="s">
        <v>397</v>
      </c>
      <c r="E24" s="481"/>
      <c r="F24" s="481"/>
      <c r="G24" s="151">
        <v>5488</v>
      </c>
      <c r="H24" s="151">
        <v>0</v>
      </c>
      <c r="I24" s="151">
        <v>5488</v>
      </c>
      <c r="J24" s="151"/>
      <c r="K24" s="151">
        <v>0</v>
      </c>
      <c r="L24" s="337">
        <v>5488</v>
      </c>
      <c r="M24" s="275"/>
    </row>
    <row r="25" spans="2:13" s="44" customFormat="1" ht="20.25" x14ac:dyDescent="0.2">
      <c r="B25" s="43"/>
      <c r="C25" s="47" t="s">
        <v>309</v>
      </c>
      <c r="D25" s="481"/>
      <c r="E25" s="481"/>
      <c r="F25" s="481"/>
      <c r="G25" s="151">
        <v>0</v>
      </c>
      <c r="H25" s="151">
        <v>0</v>
      </c>
      <c r="I25" s="151">
        <v>0</v>
      </c>
      <c r="J25" s="151"/>
      <c r="K25" s="151">
        <v>2000</v>
      </c>
      <c r="L25" s="337">
        <v>-2000</v>
      </c>
      <c r="M25" s="275">
        <v>-1</v>
      </c>
    </row>
    <row r="26" spans="2:13" s="44" customFormat="1" ht="20.25" x14ac:dyDescent="0.2">
      <c r="B26" s="43"/>
      <c r="C26" s="47" t="s">
        <v>105</v>
      </c>
      <c r="D26" s="481"/>
      <c r="E26" s="481"/>
      <c r="F26" s="481"/>
      <c r="G26" s="151">
        <v>23288</v>
      </c>
      <c r="H26" s="151">
        <v>23288</v>
      </c>
      <c r="I26" s="151">
        <v>46576</v>
      </c>
      <c r="J26" s="151"/>
      <c r="K26" s="151">
        <v>46576</v>
      </c>
      <c r="L26" s="337">
        <v>0</v>
      </c>
      <c r="M26" s="275">
        <v>0</v>
      </c>
    </row>
    <row r="27" spans="2:13" s="44" customFormat="1" ht="20.25" x14ac:dyDescent="0.2">
      <c r="B27" s="43"/>
      <c r="C27" s="47" t="s">
        <v>398</v>
      </c>
      <c r="D27" s="481"/>
      <c r="E27" s="481"/>
      <c r="F27" s="481"/>
      <c r="G27" s="151">
        <v>11328.2</v>
      </c>
      <c r="H27" s="151">
        <v>10450</v>
      </c>
      <c r="I27" s="151">
        <v>21778.2</v>
      </c>
      <c r="J27" s="151"/>
      <c r="K27" s="151">
        <v>3500</v>
      </c>
      <c r="L27" s="337">
        <v>18278.2</v>
      </c>
      <c r="M27" s="275">
        <v>5.2223428571428574</v>
      </c>
    </row>
    <row r="28" spans="2:13" s="44" customFormat="1" ht="20.25" x14ac:dyDescent="0.2">
      <c r="B28" s="43"/>
      <c r="C28" s="47" t="s">
        <v>98</v>
      </c>
      <c r="D28" s="481"/>
      <c r="E28" s="481"/>
      <c r="F28" s="481"/>
      <c r="G28" s="151">
        <v>9500</v>
      </c>
      <c r="H28" s="151">
        <v>9499.7799999999988</v>
      </c>
      <c r="I28" s="151">
        <v>18999.78</v>
      </c>
      <c r="J28" s="151"/>
      <c r="K28" s="151">
        <v>19000</v>
      </c>
      <c r="L28" s="337">
        <v>-0.22000000000116415</v>
      </c>
      <c r="M28" s="275">
        <v>-1.1578947368482324E-5</v>
      </c>
    </row>
    <row r="29" spans="2:13" s="44" customFormat="1" ht="20.25" x14ac:dyDescent="0.2">
      <c r="B29" s="43"/>
      <c r="C29" s="47" t="s">
        <v>306</v>
      </c>
      <c r="D29" s="481"/>
      <c r="E29" s="481"/>
      <c r="F29" s="481"/>
      <c r="G29" s="151">
        <v>26000</v>
      </c>
      <c r="H29" s="151">
        <v>20800.019999999997</v>
      </c>
      <c r="I29" s="151">
        <v>46800.02</v>
      </c>
      <c r="J29" s="151"/>
      <c r="K29" s="151">
        <v>53000</v>
      </c>
      <c r="L29" s="337">
        <v>-6199.9800000000032</v>
      </c>
      <c r="M29" s="275">
        <v>-0.11698075471698119</v>
      </c>
    </row>
    <row r="30" spans="2:13" s="44" customFormat="1" ht="20.25" x14ac:dyDescent="0.2">
      <c r="B30" s="43"/>
      <c r="C30" s="47" t="s">
        <v>308</v>
      </c>
      <c r="D30" s="481"/>
      <c r="E30" s="481"/>
      <c r="F30" s="481"/>
      <c r="G30" s="151">
        <v>5764.37</v>
      </c>
      <c r="H30" s="151">
        <v>5781</v>
      </c>
      <c r="I30" s="151">
        <v>11545.369999999999</v>
      </c>
      <c r="J30" s="151"/>
      <c r="K30" s="151">
        <v>16835</v>
      </c>
      <c r="L30" s="337">
        <v>-5289.630000000001</v>
      </c>
      <c r="M30" s="275">
        <v>-0.31420433620433624</v>
      </c>
    </row>
    <row r="31" spans="2:13" s="44" customFormat="1" ht="20.25" x14ac:dyDescent="0.2">
      <c r="B31" s="43"/>
      <c r="C31" s="47"/>
      <c r="D31" s="43" t="s">
        <v>101</v>
      </c>
      <c r="E31" s="47"/>
      <c r="F31" s="43"/>
      <c r="G31" s="159">
        <v>722601.28999999992</v>
      </c>
      <c r="H31" s="159">
        <v>640258.77733000007</v>
      </c>
      <c r="I31" s="159">
        <v>1362860.0673300002</v>
      </c>
      <c r="J31" s="159"/>
      <c r="K31" s="159">
        <v>1669325</v>
      </c>
      <c r="L31" s="488">
        <v>-306464.93267000001</v>
      </c>
      <c r="M31" s="489">
        <v>-0.18358613970916388</v>
      </c>
    </row>
    <row r="33" spans="2:13" s="44" customFormat="1" ht="21" thickBot="1" x14ac:dyDescent="0.25">
      <c r="B33" s="55" t="s">
        <v>107</v>
      </c>
      <c r="C33" s="55"/>
      <c r="D33" s="55"/>
      <c r="E33" s="55"/>
      <c r="F33" s="55"/>
      <c r="G33" s="151"/>
      <c r="H33" s="151"/>
      <c r="I33" s="151"/>
      <c r="J33" s="151"/>
    </row>
    <row r="34" spans="2:13" s="44" customFormat="1" ht="20.25" x14ac:dyDescent="0.2">
      <c r="B34" s="43"/>
      <c r="C34" s="47" t="s">
        <v>108</v>
      </c>
      <c r="D34" s="47"/>
      <c r="E34" s="47"/>
      <c r="F34" s="47"/>
      <c r="G34" s="151">
        <v>447013.99</v>
      </c>
      <c r="H34" s="151">
        <v>440623.07</v>
      </c>
      <c r="I34" s="151">
        <v>887637.06</v>
      </c>
      <c r="J34" s="151"/>
      <c r="K34" s="490">
        <v>1102996</v>
      </c>
      <c r="L34" s="337">
        <v>-215358.93999999994</v>
      </c>
      <c r="M34" s="289">
        <v>-0.19524906708637196</v>
      </c>
    </row>
    <row r="35" spans="2:13" s="44" customFormat="1" ht="20.25" x14ac:dyDescent="0.2">
      <c r="B35" s="43"/>
      <c r="C35" s="47" t="s">
        <v>109</v>
      </c>
      <c r="D35" s="47"/>
      <c r="E35" s="47"/>
      <c r="F35" s="47"/>
      <c r="G35" s="151">
        <v>102132.08</v>
      </c>
      <c r="H35" s="151">
        <v>85992.050000000017</v>
      </c>
      <c r="I35" s="151">
        <v>188124.13</v>
      </c>
      <c r="J35" s="151"/>
      <c r="K35" s="186">
        <v>224967</v>
      </c>
      <c r="L35" s="337">
        <v>-36842.869999999995</v>
      </c>
      <c r="M35" s="289">
        <v>-0.16377010850480292</v>
      </c>
    </row>
    <row r="36" spans="2:13" s="44" customFormat="1" ht="20.25" x14ac:dyDescent="0.2">
      <c r="B36" s="43"/>
      <c r="C36" s="47" t="s">
        <v>110</v>
      </c>
      <c r="D36" s="47"/>
      <c r="E36" s="47"/>
      <c r="F36" s="47"/>
      <c r="G36" s="151">
        <v>900</v>
      </c>
      <c r="H36" s="151">
        <v>900</v>
      </c>
      <c r="I36" s="151">
        <v>1800</v>
      </c>
      <c r="J36" s="151"/>
      <c r="K36" s="186">
        <v>1800</v>
      </c>
      <c r="L36" s="337">
        <v>0</v>
      </c>
      <c r="M36" s="289">
        <v>0</v>
      </c>
    </row>
    <row r="37" spans="2:13" s="44" customFormat="1" ht="20.25" x14ac:dyDescent="0.2">
      <c r="B37" s="43"/>
      <c r="C37" s="47" t="s">
        <v>100</v>
      </c>
      <c r="D37" s="47"/>
      <c r="E37" s="47"/>
      <c r="F37" s="47"/>
      <c r="G37" s="151">
        <v>23288</v>
      </c>
      <c r="H37" s="151">
        <v>23288</v>
      </c>
      <c r="I37" s="151">
        <v>46576</v>
      </c>
      <c r="J37" s="151"/>
      <c r="K37" s="186">
        <v>46576</v>
      </c>
      <c r="L37" s="337">
        <v>0</v>
      </c>
      <c r="M37" s="289">
        <v>0</v>
      </c>
    </row>
    <row r="38" spans="2:13" s="44" customFormat="1" ht="20.25" x14ac:dyDescent="0.2">
      <c r="B38" s="43"/>
      <c r="C38" s="47" t="s">
        <v>111</v>
      </c>
      <c r="D38" s="47"/>
      <c r="E38" s="47"/>
      <c r="F38" s="47"/>
      <c r="G38" s="151">
        <v>10831.87</v>
      </c>
      <c r="H38" s="151">
        <v>10418.370000000001</v>
      </c>
      <c r="I38" s="151">
        <v>21250.240000000002</v>
      </c>
      <c r="J38" s="151"/>
      <c r="K38" s="186">
        <v>19050</v>
      </c>
      <c r="L38" s="337">
        <v>2200.2400000000016</v>
      </c>
      <c r="M38" s="289">
        <v>0.11549816272965888</v>
      </c>
    </row>
    <row r="39" spans="2:13" s="44" customFormat="1" ht="20.25" x14ac:dyDescent="0.2">
      <c r="B39" s="43"/>
      <c r="C39" s="47" t="s">
        <v>112</v>
      </c>
      <c r="D39" s="47"/>
      <c r="E39" s="47"/>
      <c r="F39" s="47"/>
      <c r="G39" s="151">
        <v>1224.3499999999999</v>
      </c>
      <c r="H39" s="151">
        <v>1207.24</v>
      </c>
      <c r="I39" s="151">
        <v>2431.59</v>
      </c>
      <c r="J39" s="151"/>
      <c r="K39" s="186">
        <v>3377</v>
      </c>
      <c r="L39" s="337">
        <v>-945.40999999999985</v>
      </c>
      <c r="M39" s="289">
        <v>-0.27995558187740593</v>
      </c>
    </row>
    <row r="40" spans="2:13" s="44" customFormat="1" ht="20.25" x14ac:dyDescent="0.2">
      <c r="B40" s="43"/>
      <c r="C40" s="47" t="s">
        <v>113</v>
      </c>
      <c r="D40" s="47"/>
      <c r="E40" s="47"/>
      <c r="F40" s="47"/>
      <c r="G40" s="151">
        <v>1941.95</v>
      </c>
      <c r="H40" s="151">
        <v>1791.4500000000003</v>
      </c>
      <c r="I40" s="151">
        <v>3733.4000000000005</v>
      </c>
      <c r="J40" s="151"/>
      <c r="K40" s="186">
        <v>4254</v>
      </c>
      <c r="L40" s="337">
        <v>-520.59999999999945</v>
      </c>
      <c r="M40" s="289">
        <v>-0.12237893747061576</v>
      </c>
    </row>
    <row r="41" spans="2:13" s="44" customFormat="1" ht="20.25" x14ac:dyDescent="0.2">
      <c r="B41" s="43"/>
      <c r="C41" s="47" t="s">
        <v>114</v>
      </c>
      <c r="D41" s="47"/>
      <c r="E41" s="47"/>
      <c r="F41" s="47"/>
      <c r="G41" s="151">
        <v>525.84</v>
      </c>
      <c r="H41" s="151">
        <v>1029.27</v>
      </c>
      <c r="I41" s="151">
        <v>1555.1100000000001</v>
      </c>
      <c r="J41" s="151"/>
      <c r="K41" s="186">
        <v>12334</v>
      </c>
      <c r="L41" s="337">
        <v>-10778.89</v>
      </c>
      <c r="M41" s="289">
        <v>-0.8739168153072806</v>
      </c>
    </row>
    <row r="42" spans="2:13" s="44" customFormat="1" ht="20.25" x14ac:dyDescent="0.2">
      <c r="B42" s="43"/>
      <c r="C42" s="47" t="s">
        <v>115</v>
      </c>
      <c r="D42" s="47"/>
      <c r="E42" s="47"/>
      <c r="F42" s="47"/>
      <c r="G42" s="151">
        <v>18906.52</v>
      </c>
      <c r="H42" s="151">
        <v>15450</v>
      </c>
      <c r="I42" s="151">
        <v>34356.520000000004</v>
      </c>
      <c r="J42" s="151"/>
      <c r="K42" s="186">
        <v>38115</v>
      </c>
      <c r="L42" s="337">
        <v>-3758.4799999999959</v>
      </c>
      <c r="M42" s="289">
        <v>-9.8608946608946507E-2</v>
      </c>
    </row>
    <row r="43" spans="2:13" s="44" customFormat="1" ht="20.25" x14ac:dyDescent="0.2">
      <c r="B43" s="43"/>
      <c r="C43" s="47" t="s">
        <v>116</v>
      </c>
      <c r="D43" s="47"/>
      <c r="E43" s="47"/>
      <c r="F43" s="47"/>
      <c r="G43" s="151">
        <v>672.76</v>
      </c>
      <c r="H43" s="151">
        <v>828.07</v>
      </c>
      <c r="I43" s="151">
        <v>1500.83</v>
      </c>
      <c r="J43" s="151"/>
      <c r="K43" s="186">
        <v>5448</v>
      </c>
      <c r="L43" s="337">
        <v>-3947.17</v>
      </c>
      <c r="M43" s="289">
        <v>-0.72451725403817913</v>
      </c>
    </row>
    <row r="44" spans="2:13" s="44" customFormat="1" ht="20.25" x14ac:dyDescent="0.2">
      <c r="B44" s="43"/>
      <c r="C44" s="47" t="s">
        <v>117</v>
      </c>
      <c r="D44" s="47"/>
      <c r="E44" s="47"/>
      <c r="F44" s="47"/>
      <c r="G44" s="151">
        <v>419</v>
      </c>
      <c r="H44" s="151">
        <v>588.96333333333337</v>
      </c>
      <c r="I44" s="151">
        <v>1007.9633333333334</v>
      </c>
      <c r="J44" s="151"/>
      <c r="K44" s="186">
        <v>1262</v>
      </c>
      <c r="L44" s="337">
        <v>-254.03666666666663</v>
      </c>
      <c r="M44" s="289">
        <v>-0.20129688325409401</v>
      </c>
    </row>
    <row r="45" spans="2:13" s="44" customFormat="1" ht="20.25" x14ac:dyDescent="0.2">
      <c r="B45" s="43"/>
      <c r="C45" s="47" t="s">
        <v>161</v>
      </c>
      <c r="D45" s="47"/>
      <c r="E45" s="47"/>
      <c r="F45" s="47"/>
      <c r="G45" s="151">
        <v>7425</v>
      </c>
      <c r="H45" s="151">
        <v>2735</v>
      </c>
      <c r="I45" s="151">
        <v>10160</v>
      </c>
      <c r="J45" s="151"/>
      <c r="K45" s="186">
        <v>12600</v>
      </c>
      <c r="L45" s="337">
        <v>-2440</v>
      </c>
      <c r="M45" s="289">
        <v>-0.19365079365079366</v>
      </c>
    </row>
    <row r="46" spans="2:13" s="44" customFormat="1" ht="20.25" x14ac:dyDescent="0.2">
      <c r="B46" s="43"/>
      <c r="C46" s="792" t="s">
        <v>311</v>
      </c>
      <c r="D46" s="792"/>
      <c r="E46" s="792"/>
      <c r="F46" s="792"/>
      <c r="G46" s="151">
        <v>67</v>
      </c>
      <c r="H46" s="151">
        <v>0</v>
      </c>
      <c r="I46" s="151">
        <v>67</v>
      </c>
      <c r="J46" s="151"/>
      <c r="K46" s="186">
        <v>0</v>
      </c>
      <c r="L46" s="337">
        <v>67</v>
      </c>
      <c r="M46" s="289"/>
    </row>
    <row r="47" spans="2:13" s="44" customFormat="1" ht="20.25" x14ac:dyDescent="0.2">
      <c r="B47" s="43"/>
      <c r="C47" s="47" t="s">
        <v>118</v>
      </c>
      <c r="D47" s="47"/>
      <c r="E47" s="47"/>
      <c r="F47" s="47"/>
      <c r="G47" s="151">
        <v>9698.2999999999993</v>
      </c>
      <c r="H47" s="151">
        <v>6282.170000000001</v>
      </c>
      <c r="I47" s="151">
        <v>15980.470000000001</v>
      </c>
      <c r="J47" s="151"/>
      <c r="K47" s="186">
        <v>12425</v>
      </c>
      <c r="L47" s="337">
        <v>3555.4700000000012</v>
      </c>
      <c r="M47" s="289">
        <v>0.28615452716297796</v>
      </c>
    </row>
    <row r="48" spans="2:13" s="44" customFormat="1" ht="20.25" x14ac:dyDescent="0.2">
      <c r="B48" s="43"/>
      <c r="C48" s="47" t="s">
        <v>119</v>
      </c>
      <c r="D48" s="47"/>
      <c r="E48" s="47"/>
      <c r="F48" s="47"/>
      <c r="G48" s="151">
        <v>5409.5</v>
      </c>
      <c r="H48" s="151">
        <v>6493.7800000000007</v>
      </c>
      <c r="I48" s="151">
        <v>11903.28</v>
      </c>
      <c r="J48" s="151"/>
      <c r="K48" s="186">
        <v>11716</v>
      </c>
      <c r="L48" s="337">
        <v>187.28000000000065</v>
      </c>
      <c r="M48" s="289">
        <v>1.5984977808125696E-2</v>
      </c>
    </row>
    <row r="49" spans="2:13" s="44" customFormat="1" ht="20.25" x14ac:dyDescent="0.2">
      <c r="B49" s="43"/>
      <c r="C49" s="47" t="s">
        <v>126</v>
      </c>
      <c r="D49" s="47"/>
      <c r="E49" s="47"/>
      <c r="F49" s="47"/>
      <c r="G49" s="151">
        <v>733.4</v>
      </c>
      <c r="H49" s="151">
        <v>410</v>
      </c>
      <c r="I49" s="151">
        <v>1143.4000000000001</v>
      </c>
      <c r="J49" s="151"/>
      <c r="K49" s="186">
        <v>1280</v>
      </c>
      <c r="L49" s="337">
        <v>-136.59999999999991</v>
      </c>
      <c r="M49" s="289">
        <v>-0.10671874999999993</v>
      </c>
    </row>
    <row r="50" spans="2:13" s="44" customFormat="1" ht="20.25" x14ac:dyDescent="0.2">
      <c r="B50" s="43"/>
      <c r="C50" s="47" t="s">
        <v>120</v>
      </c>
      <c r="D50" s="47"/>
      <c r="E50" s="47"/>
      <c r="F50" s="47"/>
      <c r="G50" s="151">
        <v>540.31999999999994</v>
      </c>
      <c r="H50" s="151">
        <v>0</v>
      </c>
      <c r="I50" s="151">
        <v>540.31999999999994</v>
      </c>
      <c r="J50" s="151"/>
      <c r="K50" s="186">
        <v>10470</v>
      </c>
      <c r="L50" s="337">
        <v>-9929.68</v>
      </c>
      <c r="M50" s="289">
        <v>-0.94839350525310417</v>
      </c>
    </row>
    <row r="51" spans="2:13" s="44" customFormat="1" ht="20.25" customHeight="1" x14ac:dyDescent="0.2">
      <c r="B51" s="43"/>
      <c r="C51" s="47" t="s">
        <v>193</v>
      </c>
      <c r="D51" s="47"/>
      <c r="E51" s="47"/>
      <c r="F51" s="47"/>
      <c r="G51" s="151">
        <v>2381.4</v>
      </c>
      <c r="H51" s="151">
        <v>300</v>
      </c>
      <c r="I51" s="151">
        <v>2681.4</v>
      </c>
      <c r="J51" s="151"/>
      <c r="K51" s="186">
        <v>20850</v>
      </c>
      <c r="L51" s="337">
        <v>-18168.599999999999</v>
      </c>
      <c r="M51" s="289">
        <v>-0.87139568345323737</v>
      </c>
    </row>
    <row r="52" spans="2:13" s="44" customFormat="1" ht="20.25" x14ac:dyDescent="0.2">
      <c r="B52" s="47"/>
      <c r="C52" s="47" t="s">
        <v>122</v>
      </c>
      <c r="D52" s="47"/>
      <c r="E52" s="47"/>
      <c r="F52" s="47"/>
      <c r="G52" s="151">
        <v>23932</v>
      </c>
      <c r="H52" s="151">
        <v>4454</v>
      </c>
      <c r="I52" s="151">
        <v>28386</v>
      </c>
      <c r="J52" s="151"/>
      <c r="K52" s="186">
        <v>12937</v>
      </c>
      <c r="L52" s="337">
        <v>15449</v>
      </c>
      <c r="M52" s="289">
        <v>1.1941717554301616</v>
      </c>
    </row>
    <row r="53" spans="2:13" s="44" customFormat="1" ht="20.25" x14ac:dyDescent="0.2">
      <c r="B53" s="43"/>
      <c r="C53" s="47" t="s">
        <v>160</v>
      </c>
      <c r="D53" s="47"/>
      <c r="E53" s="47"/>
      <c r="F53" s="47"/>
      <c r="G53" s="151">
        <v>31384.95</v>
      </c>
      <c r="H53" s="151">
        <v>23455</v>
      </c>
      <c r="I53" s="151">
        <v>54839.95</v>
      </c>
      <c r="J53" s="151"/>
      <c r="K53" s="186">
        <v>60011</v>
      </c>
      <c r="L53" s="337">
        <v>-5171.0500000000029</v>
      </c>
      <c r="M53" s="289">
        <v>-8.6168369132325784E-2</v>
      </c>
    </row>
    <row r="54" spans="2:13" s="44" customFormat="1" ht="20.25" x14ac:dyDescent="0.2">
      <c r="B54" s="43"/>
      <c r="C54" s="47" t="s">
        <v>123</v>
      </c>
      <c r="D54" s="47"/>
      <c r="E54" s="47"/>
      <c r="F54" s="47"/>
      <c r="G54" s="151">
        <v>31753.16</v>
      </c>
      <c r="H54" s="151">
        <v>14675</v>
      </c>
      <c r="I54" s="151">
        <v>46428.160000000003</v>
      </c>
      <c r="J54" s="151"/>
      <c r="K54" s="186">
        <v>61119</v>
      </c>
      <c r="L54" s="337">
        <v>-14690.839999999997</v>
      </c>
      <c r="M54" s="289">
        <v>-0.2403645347600582</v>
      </c>
    </row>
    <row r="55" spans="2:13" s="44" customFormat="1" ht="21" thickBot="1" x14ac:dyDescent="0.25">
      <c r="B55" s="43"/>
      <c r="C55" s="47" t="s">
        <v>385</v>
      </c>
      <c r="D55" s="47"/>
      <c r="E55" s="47"/>
      <c r="F55" s="47"/>
      <c r="G55" s="158">
        <v>297</v>
      </c>
      <c r="H55" s="153">
        <v>990</v>
      </c>
      <c r="I55" s="153">
        <v>1287</v>
      </c>
      <c r="J55" s="153"/>
      <c r="K55" s="491">
        <v>0</v>
      </c>
      <c r="L55" s="340">
        <v>1287</v>
      </c>
      <c r="M55" s="339"/>
    </row>
    <row r="56" spans="2:13" s="44" customFormat="1" ht="20.25" x14ac:dyDescent="0.2">
      <c r="B56" s="47"/>
      <c r="C56" s="43"/>
      <c r="D56" s="43"/>
      <c r="G56" s="151">
        <v>721478.3899999999</v>
      </c>
      <c r="H56" s="151">
        <v>641911.43333333335</v>
      </c>
      <c r="I56" s="151">
        <v>1363389.8233333332</v>
      </c>
      <c r="J56" s="151"/>
      <c r="K56" s="151">
        <v>1663587</v>
      </c>
      <c r="L56" s="151">
        <v>-300197.17666666652</v>
      </c>
      <c r="M56" s="489">
        <v>-0.18045174473391926</v>
      </c>
    </row>
    <row r="57" spans="2:13" s="44" customFormat="1" ht="8.25" customHeight="1" x14ac:dyDescent="0.2">
      <c r="B57" s="47"/>
      <c r="C57" s="43"/>
      <c r="D57" s="43"/>
      <c r="G57" s="151"/>
      <c r="H57" s="151"/>
      <c r="I57" s="151"/>
      <c r="J57" s="151"/>
      <c r="K57" s="151"/>
    </row>
    <row r="58" spans="2:13" s="44" customFormat="1" ht="20.25" x14ac:dyDescent="0.2">
      <c r="B58" s="47"/>
      <c r="C58" s="492" t="s">
        <v>399</v>
      </c>
      <c r="D58"/>
      <c r="E58" s="43"/>
      <c r="F58" s="43"/>
      <c r="G58" s="159">
        <v>1122.9000000000233</v>
      </c>
      <c r="H58" s="159">
        <v>-1652.6560033332789</v>
      </c>
      <c r="I58" s="159">
        <v>-529.75600333325565</v>
      </c>
      <c r="J58" s="151"/>
      <c r="K58" s="159">
        <v>5738</v>
      </c>
      <c r="L58" s="493">
        <v>-6267.7560033332556</v>
      </c>
      <c r="M58" s="489">
        <v>-1.0923241553386642</v>
      </c>
    </row>
    <row r="59" spans="2:13" s="44" customFormat="1" ht="9" customHeight="1" x14ac:dyDescent="0.2">
      <c r="B59" s="47"/>
      <c r="C59" s="47"/>
      <c r="D59" s="47"/>
      <c r="E59" s="47"/>
      <c r="F59" s="47"/>
      <c r="G59" s="151"/>
      <c r="H59" s="151"/>
      <c r="I59" s="151"/>
      <c r="J59" s="151"/>
      <c r="K59" s="151"/>
    </row>
    <row r="60" spans="2:13" s="44" customFormat="1" ht="20.25" x14ac:dyDescent="0.2">
      <c r="B60" s="47"/>
      <c r="C60" s="47" t="s">
        <v>121</v>
      </c>
      <c r="D60" s="47"/>
      <c r="F60" s="47"/>
      <c r="G60" s="151">
        <v>19500</v>
      </c>
      <c r="H60" s="151">
        <v>19720</v>
      </c>
      <c r="I60" s="151">
        <v>39220</v>
      </c>
      <c r="J60" s="151"/>
      <c r="K60" s="151">
        <v>39797</v>
      </c>
    </row>
    <row r="61" spans="2:13" s="44" customFormat="1" ht="9" customHeight="1" x14ac:dyDescent="0.2">
      <c r="B61" s="47"/>
      <c r="C61" s="47"/>
      <c r="D61" s="47"/>
      <c r="E61" s="47"/>
      <c r="F61" s="47"/>
      <c r="G61" s="151"/>
      <c r="H61" s="151"/>
      <c r="I61" s="151"/>
      <c r="J61" s="151"/>
      <c r="K61" s="151"/>
    </row>
    <row r="62" spans="2:13" s="44" customFormat="1" ht="21" thickBot="1" x14ac:dyDescent="0.25">
      <c r="B62" s="43"/>
      <c r="C62" s="492" t="s">
        <v>400</v>
      </c>
      <c r="D62"/>
      <c r="E62"/>
      <c r="F62"/>
      <c r="G62" s="494">
        <v>-18377.099999999977</v>
      </c>
      <c r="H62" s="494">
        <v>-21372.656003333279</v>
      </c>
      <c r="I62" s="494">
        <v>-39749.756003333256</v>
      </c>
      <c r="J62" s="154"/>
      <c r="K62" s="494">
        <v>-34059</v>
      </c>
    </row>
    <row r="63" spans="2:13" s="44" customFormat="1" ht="21" thickTop="1" x14ac:dyDescent="0.2">
      <c r="B63" s="43"/>
      <c r="C63" s="43"/>
      <c r="D63" s="43"/>
      <c r="E63" s="43"/>
      <c r="F63" s="43"/>
      <c r="G63" s="154"/>
      <c r="H63" s="154"/>
      <c r="I63" s="154"/>
      <c r="J63" s="154"/>
      <c r="K63" s="154"/>
    </row>
    <row r="64" spans="2:13" s="44" customFormat="1" ht="23.25" x14ac:dyDescent="0.2">
      <c r="B64" s="179"/>
      <c r="C64" s="43"/>
      <c r="D64" s="43"/>
      <c r="E64" s="43"/>
      <c r="F64" s="43" t="s">
        <v>401</v>
      </c>
      <c r="G64" s="151"/>
      <c r="H64" s="151"/>
      <c r="I64" s="151"/>
      <c r="J64" s="151"/>
      <c r="K64" s="151"/>
    </row>
    <row r="65" spans="6:6" s="44" customFormat="1" ht="18" x14ac:dyDescent="0.2">
      <c r="F65" s="495" t="s">
        <v>402</v>
      </c>
    </row>
    <row r="66" spans="6:6" s="44" customFormat="1" ht="18" x14ac:dyDescent="0.2">
      <c r="F66" s="495" t="s">
        <v>407</v>
      </c>
    </row>
    <row r="67" spans="6:6" s="44" customFormat="1" ht="18" x14ac:dyDescent="0.2">
      <c r="F67" s="495" t="s">
        <v>403</v>
      </c>
    </row>
    <row r="68" spans="6:6" s="44" customFormat="1" ht="18" x14ac:dyDescent="0.2">
      <c r="F68" s="495" t="s">
        <v>404</v>
      </c>
    </row>
    <row r="69" spans="6:6" s="44" customFormat="1" ht="18" x14ac:dyDescent="0.2">
      <c r="F69" s="495" t="s">
        <v>405</v>
      </c>
    </row>
    <row r="70" spans="6:6" s="51" customFormat="1" ht="26.25" x14ac:dyDescent="0.2">
      <c r="F70" s="495" t="s">
        <v>406</v>
      </c>
    </row>
  </sheetData>
  <mergeCells count="3">
    <mergeCell ref="G5:K5"/>
    <mergeCell ref="L7:M7"/>
    <mergeCell ref="C46:F4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P90"/>
  <sheetViews>
    <sheetView tabSelected="1" topLeftCell="A16" zoomScale="85" zoomScaleNormal="85" workbookViewId="0">
      <selection sqref="A1:M75"/>
    </sheetView>
  </sheetViews>
  <sheetFormatPr defaultRowHeight="14.25" x14ac:dyDescent="0.2"/>
  <cols>
    <col min="1" max="1" width="4.125" customWidth="1"/>
    <col min="2" max="2" width="50" customWidth="1"/>
    <col min="3" max="3" width="26" customWidth="1"/>
    <col min="4" max="4" width="17.25" style="3" customWidth="1"/>
    <col min="5" max="5" width="13.625" style="3" customWidth="1"/>
    <col min="6" max="6" width="12.75" style="3" customWidth="1"/>
    <col min="7" max="7" width="19.75" style="19" customWidth="1"/>
    <col min="8" max="8" width="18.25" style="19" customWidth="1"/>
    <col min="9" max="10" width="18.125" style="19" customWidth="1"/>
    <col min="11" max="11" width="17.75" style="19" customWidth="1"/>
    <col min="12" max="12" width="18" style="19" customWidth="1"/>
    <col min="13" max="15" width="20.625" style="19" customWidth="1"/>
  </cols>
  <sheetData>
    <row r="1" spans="1:120" s="8" customFormat="1" ht="18" x14ac:dyDescent="0.25">
      <c r="B1" s="6" t="s">
        <v>0</v>
      </c>
      <c r="C1" s="6"/>
      <c r="D1" s="7"/>
      <c r="E1" s="7"/>
      <c r="F1" s="7"/>
      <c r="G1" s="18"/>
      <c r="H1" s="18"/>
      <c r="I1" s="18"/>
      <c r="J1" s="18"/>
      <c r="K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row>
    <row r="2" spans="1:120" s="8" customFormat="1" ht="18" x14ac:dyDescent="0.25">
      <c r="B2" s="9" t="s">
        <v>28</v>
      </c>
      <c r="C2" s="9"/>
      <c r="D2" s="7"/>
      <c r="E2" s="7"/>
      <c r="F2" s="7"/>
      <c r="G2" s="18"/>
      <c r="H2" s="18"/>
      <c r="I2" s="18"/>
      <c r="J2" s="18"/>
      <c r="K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row>
    <row r="3" spans="1:120" s="8" customFormat="1" ht="18" x14ac:dyDescent="0.25">
      <c r="B3" s="9" t="s">
        <v>657</v>
      </c>
      <c r="C3" s="9"/>
      <c r="D3" s="7"/>
      <c r="E3" s="7"/>
      <c r="F3" s="7"/>
      <c r="G3" s="18"/>
      <c r="H3" s="18"/>
      <c r="I3" s="18"/>
      <c r="J3" s="18"/>
      <c r="K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row>
    <row r="4" spans="1:120" s="8" customFormat="1" ht="13.5" customHeight="1" thickBot="1" x14ac:dyDescent="0.3">
      <c r="B4" s="9"/>
      <c r="C4" s="9"/>
      <c r="D4" s="7"/>
      <c r="E4" s="7"/>
      <c r="F4" s="7"/>
      <c r="G4" s="18"/>
      <c r="H4" s="18"/>
      <c r="I4" s="18"/>
      <c r="J4" s="18"/>
      <c r="K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row>
    <row r="5" spans="1:120" s="16" customFormat="1" ht="18.75" thickBot="1" x14ac:dyDescent="0.3">
      <c r="B5" s="166" t="s">
        <v>153</v>
      </c>
      <c r="C5" s="167"/>
      <c r="D5" s="167"/>
      <c r="E5" s="167"/>
      <c r="F5" s="167"/>
      <c r="G5" s="167"/>
      <c r="H5" s="167"/>
      <c r="I5" s="167"/>
      <c r="J5" s="167"/>
      <c r="K5" s="167"/>
      <c r="L5" s="168"/>
      <c r="M5" s="20"/>
      <c r="N5" s="20"/>
      <c r="O5" s="20"/>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row>
    <row r="6" spans="1:120" s="15" customFormat="1" ht="30.75" thickBot="1" x14ac:dyDescent="0.3">
      <c r="A6" s="12"/>
      <c r="B6" s="216" t="s">
        <v>20</v>
      </c>
      <c r="C6" s="521" t="s">
        <v>11</v>
      </c>
      <c r="D6" s="216" t="s">
        <v>1</v>
      </c>
      <c r="E6" s="521" t="s">
        <v>2</v>
      </c>
      <c r="F6" s="216" t="s">
        <v>3</v>
      </c>
      <c r="G6" s="498" t="s">
        <v>8</v>
      </c>
      <c r="H6" s="221" t="s">
        <v>25</v>
      </c>
      <c r="I6" s="498" t="s">
        <v>190</v>
      </c>
      <c r="J6" s="560" t="s">
        <v>24</v>
      </c>
      <c r="K6" s="221" t="s">
        <v>17</v>
      </c>
      <c r="L6" s="562" t="s">
        <v>89</v>
      </c>
      <c r="M6" s="25"/>
      <c r="N6" s="21"/>
      <c r="O6" s="21"/>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row>
    <row r="7" spans="1:120" ht="18" x14ac:dyDescent="0.25">
      <c r="A7" s="3"/>
      <c r="B7" s="556" t="s">
        <v>704</v>
      </c>
      <c r="C7" s="558" t="s">
        <v>12</v>
      </c>
      <c r="D7" s="584" t="s">
        <v>326</v>
      </c>
      <c r="E7" s="749">
        <v>45292</v>
      </c>
      <c r="F7" s="385">
        <v>45657</v>
      </c>
      <c r="G7" s="586">
        <v>141001</v>
      </c>
      <c r="H7" s="210">
        <f t="shared" ref="H7:H16" si="0">J7-I7</f>
        <v>78950.91</v>
      </c>
      <c r="I7" s="499">
        <f>'February''25 AR Aging'!H34</f>
        <v>62050.09</v>
      </c>
      <c r="J7" s="210">
        <v>141001</v>
      </c>
      <c r="K7" s="588">
        <f t="shared" ref="K7:K16" si="1">G7-J7</f>
        <v>0</v>
      </c>
      <c r="L7" s="210"/>
      <c r="M7" s="508"/>
      <c r="N7" s="188"/>
      <c r="O7" s="639"/>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row>
    <row r="8" spans="1:120" ht="18" x14ac:dyDescent="0.25">
      <c r="A8" s="3"/>
      <c r="B8" s="556" t="s">
        <v>703</v>
      </c>
      <c r="C8" s="558" t="s">
        <v>12</v>
      </c>
      <c r="D8" s="584" t="s">
        <v>326</v>
      </c>
      <c r="E8" s="749">
        <v>45658</v>
      </c>
      <c r="F8" s="385">
        <v>45930</v>
      </c>
      <c r="G8" s="586">
        <f>141001*9/12</f>
        <v>105750.75</v>
      </c>
      <c r="H8" s="210">
        <v>0</v>
      </c>
      <c r="I8" s="499">
        <f>'February''25 AR Aging'!D34</f>
        <v>22975.66</v>
      </c>
      <c r="J8" s="210">
        <v>22976</v>
      </c>
      <c r="K8" s="588">
        <f t="shared" ref="K8" si="2">G8-J8</f>
        <v>82774.75</v>
      </c>
      <c r="L8" s="210"/>
      <c r="M8" s="508"/>
      <c r="N8" s="188"/>
      <c r="O8" s="639"/>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row>
    <row r="9" spans="1:120" ht="18" x14ac:dyDescent="0.25">
      <c r="A9" s="3"/>
      <c r="B9" s="556" t="s">
        <v>595</v>
      </c>
      <c r="C9" s="558" t="s">
        <v>12</v>
      </c>
      <c r="D9" s="584" t="s">
        <v>347</v>
      </c>
      <c r="E9" s="749">
        <v>45505</v>
      </c>
      <c r="F9" s="385">
        <v>45868</v>
      </c>
      <c r="G9" s="588">
        <v>353541.54</v>
      </c>
      <c r="H9" s="210">
        <f t="shared" si="0"/>
        <v>94429.459999999992</v>
      </c>
      <c r="I9" s="499">
        <f>'February''25 AR Aging'!H29</f>
        <v>70554</v>
      </c>
      <c r="J9" s="210">
        <f>165005.58-22.12</f>
        <v>164983.46</v>
      </c>
      <c r="K9" s="588">
        <f t="shared" si="1"/>
        <v>188558.07999999999</v>
      </c>
      <c r="L9" s="210"/>
      <c r="M9" s="509"/>
      <c r="N9" s="188"/>
      <c r="O9" s="18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row>
    <row r="10" spans="1:120" s="2" customFormat="1" ht="12.75" customHeight="1" x14ac:dyDescent="0.25">
      <c r="A10" s="3"/>
      <c r="B10" s="556" t="s">
        <v>669</v>
      </c>
      <c r="C10" s="558" t="s">
        <v>14</v>
      </c>
      <c r="D10" s="584" t="s">
        <v>19</v>
      </c>
      <c r="E10" s="749">
        <v>45658</v>
      </c>
      <c r="F10" s="385">
        <v>46022</v>
      </c>
      <c r="G10" s="587">
        <v>51500</v>
      </c>
      <c r="H10" s="210">
        <f t="shared" ref="H10" si="3">J10-I10</f>
        <v>-0.32999999999992724</v>
      </c>
      <c r="I10" s="499">
        <f>'February''25 AR Aging'!H44</f>
        <v>8583.33</v>
      </c>
      <c r="J10" s="210">
        <v>8583</v>
      </c>
      <c r="K10" s="588">
        <f t="shared" ref="K10" si="4">G10-J10</f>
        <v>42917</v>
      </c>
      <c r="L10" s="582"/>
      <c r="M10" s="163"/>
      <c r="N10" s="188"/>
      <c r="O10" s="639"/>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row>
    <row r="11" spans="1:120" s="2" customFormat="1" ht="15" customHeight="1" x14ac:dyDescent="0.25">
      <c r="A11" s="3"/>
      <c r="B11" s="556" t="s">
        <v>189</v>
      </c>
      <c r="C11" s="558" t="s">
        <v>14</v>
      </c>
      <c r="D11" s="584" t="s">
        <v>19</v>
      </c>
      <c r="E11" s="749">
        <v>45383</v>
      </c>
      <c r="F11" s="385">
        <v>45747</v>
      </c>
      <c r="G11" s="588">
        <v>163196</v>
      </c>
      <c r="H11" s="210">
        <f t="shared" si="0"/>
        <v>80892.31</v>
      </c>
      <c r="I11" s="499">
        <f>'February''25 AR Aging'!H34</f>
        <v>62050.09</v>
      </c>
      <c r="J11" s="210">
        <v>142942.39999999999</v>
      </c>
      <c r="K11" s="588">
        <f t="shared" si="1"/>
        <v>20253.600000000006</v>
      </c>
      <c r="L11" s="210"/>
      <c r="M11" s="163"/>
      <c r="N11" s="188"/>
      <c r="O11" s="640"/>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row>
    <row r="12" spans="1:120" s="2" customFormat="1" ht="15" customHeight="1" x14ac:dyDescent="0.25">
      <c r="A12" s="3"/>
      <c r="B12" s="556" t="s">
        <v>189</v>
      </c>
      <c r="C12" s="558" t="s">
        <v>746</v>
      </c>
      <c r="D12" s="584" t="s">
        <v>19</v>
      </c>
      <c r="E12" s="749">
        <v>45748</v>
      </c>
      <c r="F12" s="385">
        <v>46112</v>
      </c>
      <c r="G12" s="588">
        <v>180000</v>
      </c>
      <c r="H12" s="210">
        <f t="shared" ref="H12" si="5">J12-I12</f>
        <v>0</v>
      </c>
      <c r="I12" s="499">
        <v>0</v>
      </c>
      <c r="J12" s="210">
        <v>0</v>
      </c>
      <c r="K12" s="588">
        <f t="shared" ref="K12" si="6">G12-J12</f>
        <v>180000</v>
      </c>
      <c r="L12" s="210"/>
      <c r="M12" s="163"/>
      <c r="N12" s="188"/>
      <c r="O12" s="640"/>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row>
    <row r="13" spans="1:120" s="2" customFormat="1" ht="18" x14ac:dyDescent="0.25">
      <c r="A13" s="3"/>
      <c r="B13" s="556" t="s">
        <v>429</v>
      </c>
      <c r="C13" s="558" t="s">
        <v>294</v>
      </c>
      <c r="D13" s="584" t="s">
        <v>19</v>
      </c>
      <c r="E13" s="749">
        <v>45658</v>
      </c>
      <c r="F13" s="385">
        <v>46022</v>
      </c>
      <c r="G13" s="588">
        <v>18000</v>
      </c>
      <c r="H13" s="210">
        <f t="shared" si="0"/>
        <v>0</v>
      </c>
      <c r="I13" s="588">
        <f>'February''25 AR Aging'!H38</f>
        <v>3000</v>
      </c>
      <c r="J13" s="210">
        <f>1500*2</f>
        <v>3000</v>
      </c>
      <c r="K13" s="588">
        <f t="shared" si="1"/>
        <v>15000</v>
      </c>
      <c r="L13" s="210"/>
      <c r="M13" s="163"/>
      <c r="N13" s="188"/>
      <c r="O13" s="639"/>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row>
    <row r="14" spans="1:120" s="2" customFormat="1" ht="18" x14ac:dyDescent="0.25">
      <c r="A14" s="3"/>
      <c r="B14" s="556" t="s">
        <v>583</v>
      </c>
      <c r="C14" s="558" t="s">
        <v>371</v>
      </c>
      <c r="D14" s="584" t="s">
        <v>424</v>
      </c>
      <c r="E14" s="749">
        <v>45658</v>
      </c>
      <c r="F14" s="385">
        <v>46022</v>
      </c>
      <c r="G14" s="588">
        <v>5000</v>
      </c>
      <c r="H14" s="210">
        <f t="shared" si="0"/>
        <v>0</v>
      </c>
      <c r="I14" s="588">
        <f>'February''25 AR Aging'!H11</f>
        <v>1250</v>
      </c>
      <c r="J14" s="595">
        <v>1250</v>
      </c>
      <c r="K14" s="588">
        <f t="shared" si="1"/>
        <v>3750</v>
      </c>
      <c r="L14" s="210"/>
      <c r="M14" s="163"/>
      <c r="N14" s="188"/>
      <c r="O14" s="18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row>
    <row r="15" spans="1:120" s="2" customFormat="1" ht="18" x14ac:dyDescent="0.25">
      <c r="A15" s="3"/>
      <c r="B15" s="555" t="s">
        <v>598</v>
      </c>
      <c r="C15" s="192" t="s">
        <v>174</v>
      </c>
      <c r="D15" s="197" t="s">
        <v>424</v>
      </c>
      <c r="E15" s="4">
        <v>45516</v>
      </c>
      <c r="F15" s="196">
        <v>45838</v>
      </c>
      <c r="G15" s="583">
        <v>36637</v>
      </c>
      <c r="H15" s="199">
        <f t="shared" si="0"/>
        <v>18890.629999999997</v>
      </c>
      <c r="I15" s="497">
        <f>'February''25 AR Aging'!H23</f>
        <v>4061.4</v>
      </c>
      <c r="J15" s="199">
        <v>22952.03</v>
      </c>
      <c r="K15" s="497">
        <f t="shared" si="1"/>
        <v>13684.970000000001</v>
      </c>
      <c r="L15" s="199"/>
      <c r="M15" s="188"/>
      <c r="N15" s="188"/>
      <c r="O15" s="18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row>
    <row r="16" spans="1:120" s="2" customFormat="1" ht="18.75" thickBot="1" x14ac:dyDescent="0.3">
      <c r="A16" s="3"/>
      <c r="B16" s="557" t="s">
        <v>599</v>
      </c>
      <c r="C16" s="193" t="s">
        <v>174</v>
      </c>
      <c r="D16" s="585" t="s">
        <v>424</v>
      </c>
      <c r="E16" s="750">
        <v>45516</v>
      </c>
      <c r="F16" s="751">
        <v>45877</v>
      </c>
      <c r="G16" s="589">
        <v>36031</v>
      </c>
      <c r="H16" s="200">
        <f t="shared" si="0"/>
        <v>14069.919999999998</v>
      </c>
      <c r="I16" s="590">
        <f>'February''25 AR Aging'!H24</f>
        <v>2911.29</v>
      </c>
      <c r="J16" s="200">
        <v>16981.21</v>
      </c>
      <c r="K16" s="200">
        <f t="shared" si="1"/>
        <v>19049.79</v>
      </c>
      <c r="L16" s="200"/>
      <c r="M16" s="188"/>
      <c r="N16" s="188"/>
      <c r="O16" s="18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row>
    <row r="17" spans="1:120" s="10" customFormat="1" ht="18.75" thickBot="1" x14ac:dyDescent="0.3">
      <c r="A17" s="28"/>
      <c r="B17" s="170" t="s">
        <v>31</v>
      </c>
      <c r="C17" s="171"/>
      <c r="D17" s="172"/>
      <c r="E17" s="173"/>
      <c r="F17" s="173"/>
      <c r="G17" s="190"/>
      <c r="H17" s="581">
        <f>SUM(H7:H16)</f>
        <v>287232.89999999997</v>
      </c>
      <c r="I17" s="190">
        <f>SUM(I7:I16)</f>
        <v>237435.86</v>
      </c>
      <c r="J17" s="190">
        <f>SUM(J7:J16)</f>
        <v>524669.1</v>
      </c>
      <c r="K17" s="190">
        <f>SUM(K7:K16)</f>
        <v>565988.18999999994</v>
      </c>
      <c r="L17" s="190">
        <f>SUM(L7:L16)</f>
        <v>0</v>
      </c>
      <c r="M17" s="188"/>
      <c r="N17" s="188"/>
      <c r="O17" s="18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row>
    <row r="18" spans="1:120" ht="18" x14ac:dyDescent="0.25">
      <c r="B18" s="506"/>
      <c r="C18" s="506"/>
      <c r="D18" s="11"/>
      <c r="E18" s="506"/>
      <c r="F18" s="189"/>
      <c r="I18" s="164"/>
      <c r="M18" s="188"/>
      <c r="N18" s="188"/>
      <c r="O18" s="18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row>
    <row r="19" spans="1:120" ht="10.5" customHeight="1" thickBot="1" x14ac:dyDescent="0.3">
      <c r="C19" s="24"/>
      <c r="M19" s="188"/>
      <c r="N19" s="188"/>
      <c r="O19" s="18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row>
    <row r="20" spans="1:120" s="14" customFormat="1" ht="18.75" thickBot="1" x14ac:dyDescent="0.3">
      <c r="A20" s="630"/>
      <c r="B20" s="203" t="s">
        <v>33</v>
      </c>
      <c r="C20" s="100"/>
      <c r="D20" s="101"/>
      <c r="E20" s="101"/>
      <c r="F20" s="101"/>
      <c r="G20" s="102"/>
      <c r="H20" s="102"/>
      <c r="I20" s="102"/>
      <c r="J20" s="102"/>
      <c r="K20" s="102"/>
      <c r="L20" s="103"/>
      <c r="M20" s="188"/>
      <c r="N20" s="188"/>
      <c r="O20" s="18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row>
    <row r="21" spans="1:120" s="12" customFormat="1" ht="45.75" thickBot="1" x14ac:dyDescent="0.3">
      <c r="B21" s="216" t="s">
        <v>20</v>
      </c>
      <c r="C21" s="832" t="s">
        <v>11</v>
      </c>
      <c r="D21" s="833"/>
      <c r="E21" s="216" t="s">
        <v>2</v>
      </c>
      <c r="F21" s="552" t="s">
        <v>3</v>
      </c>
      <c r="G21" s="221" t="s">
        <v>21</v>
      </c>
      <c r="H21" s="221" t="s">
        <v>705</v>
      </c>
      <c r="I21" s="221" t="s">
        <v>158</v>
      </c>
      <c r="J21" s="221" t="s">
        <v>17</v>
      </c>
      <c r="K21" s="221" t="s">
        <v>317</v>
      </c>
      <c r="L21" s="221" t="s">
        <v>4</v>
      </c>
      <c r="M21" s="188"/>
      <c r="N21" s="188"/>
      <c r="O21" s="18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row>
    <row r="22" spans="1:120" ht="18" hidden="1" x14ac:dyDescent="0.25">
      <c r="B22" s="192" t="s">
        <v>13</v>
      </c>
      <c r="C22" s="838" t="s">
        <v>10</v>
      </c>
      <c r="D22" s="839"/>
      <c r="E22" s="196">
        <v>41275</v>
      </c>
      <c r="F22" s="559">
        <v>41639</v>
      </c>
      <c r="G22" s="199"/>
      <c r="H22" s="199">
        <v>0</v>
      </c>
      <c r="I22" s="199"/>
      <c r="J22" s="199">
        <f>G22-I22</f>
        <v>0</v>
      </c>
      <c r="K22" s="199">
        <v>0</v>
      </c>
      <c r="L22" s="199">
        <f t="shared" ref="L22:L23" si="7">J22</f>
        <v>0</v>
      </c>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row>
    <row r="23" spans="1:120" ht="18" hidden="1" x14ac:dyDescent="0.25">
      <c r="B23" s="192" t="s">
        <v>255</v>
      </c>
      <c r="C23" s="838" t="s">
        <v>10</v>
      </c>
      <c r="D23" s="839"/>
      <c r="E23" s="196">
        <v>42736</v>
      </c>
      <c r="F23" s="559">
        <v>43100</v>
      </c>
      <c r="G23" s="199"/>
      <c r="H23" s="199">
        <v>0</v>
      </c>
      <c r="I23" s="199">
        <v>25000</v>
      </c>
      <c r="J23" s="199">
        <f>25000-I23</f>
        <v>0</v>
      </c>
      <c r="K23" s="199"/>
      <c r="L23" s="263">
        <f t="shared" si="7"/>
        <v>0</v>
      </c>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row>
    <row r="24" spans="1:120" ht="18" hidden="1" x14ac:dyDescent="0.25">
      <c r="B24" s="192" t="s">
        <v>303</v>
      </c>
      <c r="C24" s="838" t="s">
        <v>10</v>
      </c>
      <c r="D24" s="839"/>
      <c r="E24" s="196">
        <v>43466</v>
      </c>
      <c r="F24" s="559">
        <v>43830</v>
      </c>
      <c r="G24" s="199"/>
      <c r="H24" s="199"/>
      <c r="I24" s="199"/>
      <c r="J24" s="199"/>
      <c r="K24" s="199"/>
      <c r="L24" s="471"/>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row>
    <row r="25" spans="1:120" ht="18" hidden="1" x14ac:dyDescent="0.25">
      <c r="B25" s="501" t="s">
        <v>380</v>
      </c>
      <c r="C25" s="840" t="s">
        <v>10</v>
      </c>
      <c r="D25" s="839"/>
      <c r="E25" s="502">
        <v>43831</v>
      </c>
      <c r="F25" s="4">
        <v>44196</v>
      </c>
      <c r="G25" s="479"/>
      <c r="H25" s="212"/>
      <c r="I25" s="479"/>
      <c r="J25" s="212">
        <f>G25-I25</f>
        <v>0</v>
      </c>
      <c r="K25" s="479"/>
      <c r="L25" s="504">
        <f>J25</f>
        <v>0</v>
      </c>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row>
    <row r="26" spans="1:120" ht="18" hidden="1" x14ac:dyDescent="0.25">
      <c r="B26" s="192"/>
      <c r="C26" s="840"/>
      <c r="D26" s="839"/>
      <c r="E26" s="196"/>
      <c r="F26" s="4"/>
      <c r="G26" s="199"/>
      <c r="H26" s="212"/>
      <c r="I26" s="199"/>
      <c r="J26" s="212"/>
      <c r="K26" s="199"/>
      <c r="L26" s="211"/>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row>
    <row r="27" spans="1:120" ht="18" hidden="1" x14ac:dyDescent="0.25">
      <c r="B27" s="192" t="s">
        <v>409</v>
      </c>
      <c r="C27" s="840" t="s">
        <v>10</v>
      </c>
      <c r="D27" s="839"/>
      <c r="E27" s="196">
        <v>44105</v>
      </c>
      <c r="F27" s="4" t="s">
        <v>382</v>
      </c>
      <c r="G27" s="199"/>
      <c r="H27" s="212"/>
      <c r="I27" s="199"/>
      <c r="J27" s="212"/>
      <c r="K27" s="199"/>
      <c r="L27" s="211"/>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row>
    <row r="28" spans="1:120" ht="18" hidden="1" x14ac:dyDescent="0.25">
      <c r="B28" s="192" t="s">
        <v>430</v>
      </c>
      <c r="C28" s="840" t="s">
        <v>10</v>
      </c>
      <c r="D28" s="839"/>
      <c r="E28" s="196">
        <v>44562</v>
      </c>
      <c r="F28" s="4">
        <v>44926</v>
      </c>
      <c r="G28" s="199"/>
      <c r="H28" s="212"/>
      <c r="I28" s="199"/>
      <c r="J28" s="212"/>
      <c r="K28" s="199"/>
      <c r="L28" s="211"/>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row>
    <row r="29" spans="1:120" ht="18" hidden="1" x14ac:dyDescent="0.25">
      <c r="B29" s="192" t="s">
        <v>505</v>
      </c>
      <c r="C29" s="840" t="s">
        <v>10</v>
      </c>
      <c r="D29" s="839"/>
      <c r="E29" s="196">
        <v>44927</v>
      </c>
      <c r="F29" s="4">
        <v>45291</v>
      </c>
      <c r="G29" s="199"/>
      <c r="H29" s="212"/>
      <c r="I29" s="199"/>
      <c r="J29" s="212"/>
      <c r="K29" s="199"/>
      <c r="L29" s="211"/>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row>
    <row r="30" spans="1:120" ht="18" x14ac:dyDescent="0.25">
      <c r="A30" s="3"/>
      <c r="B30" s="192" t="s">
        <v>597</v>
      </c>
      <c r="C30" s="840" t="s">
        <v>623</v>
      </c>
      <c r="D30" s="839"/>
      <c r="E30" s="196">
        <v>45658</v>
      </c>
      <c r="F30" s="4">
        <v>46022</v>
      </c>
      <c r="G30" s="199">
        <v>25000</v>
      </c>
      <c r="H30" s="212">
        <f>G30</f>
        <v>25000</v>
      </c>
      <c r="I30" s="199">
        <v>4040.38</v>
      </c>
      <c r="J30" s="212">
        <f>G30-I30</f>
        <v>20959.62</v>
      </c>
      <c r="K30" s="199"/>
      <c r="L30" s="211">
        <f>J30</f>
        <v>20959.62</v>
      </c>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row>
    <row r="31" spans="1:120" ht="18" x14ac:dyDescent="0.25">
      <c r="A31" s="3"/>
      <c r="B31" s="192" t="s">
        <v>575</v>
      </c>
      <c r="C31" s="840" t="s">
        <v>10</v>
      </c>
      <c r="D31" s="839"/>
      <c r="E31" s="196">
        <v>45292</v>
      </c>
      <c r="F31" s="4">
        <v>45657</v>
      </c>
      <c r="G31" s="199">
        <v>7500</v>
      </c>
      <c r="H31" s="212">
        <v>0</v>
      </c>
      <c r="I31" s="199">
        <v>0</v>
      </c>
      <c r="J31" s="212">
        <f>H31-I31</f>
        <v>0</v>
      </c>
      <c r="K31" s="199"/>
      <c r="L31" s="211">
        <f t="shared" ref="L31:L34" si="8">J31</f>
        <v>0</v>
      </c>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row>
    <row r="32" spans="1:120" ht="18" hidden="1" x14ac:dyDescent="0.25">
      <c r="A32" s="3"/>
      <c r="B32" s="192" t="s">
        <v>442</v>
      </c>
      <c r="C32" s="840" t="s">
        <v>10</v>
      </c>
      <c r="D32" s="839"/>
      <c r="E32" s="196">
        <v>44743</v>
      </c>
      <c r="F32" s="4">
        <v>45107</v>
      </c>
      <c r="G32" s="199"/>
      <c r="H32" s="212"/>
      <c r="I32" s="199"/>
      <c r="J32" s="212"/>
      <c r="K32" s="199"/>
      <c r="L32" s="211"/>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row>
    <row r="33" spans="1:120" ht="18" x14ac:dyDescent="0.25">
      <c r="A33" s="3"/>
      <c r="B33" s="192" t="s">
        <v>706</v>
      </c>
      <c r="C33" s="840" t="s">
        <v>10</v>
      </c>
      <c r="D33" s="839"/>
      <c r="E33" s="196">
        <v>45658</v>
      </c>
      <c r="F33" s="4">
        <v>46022</v>
      </c>
      <c r="G33" s="199">
        <v>10000</v>
      </c>
      <c r="H33" s="212">
        <f>G33</f>
        <v>10000</v>
      </c>
      <c r="I33" s="199">
        <v>312.04000000000002</v>
      </c>
      <c r="J33" s="212">
        <f>H33-I33</f>
        <v>9687.9599999999991</v>
      </c>
      <c r="K33" s="199"/>
      <c r="L33" s="211">
        <f t="shared" ref="L33" si="9">J33</f>
        <v>9687.9599999999991</v>
      </c>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row>
    <row r="34" spans="1:120" ht="18" hidden="1" x14ac:dyDescent="0.25">
      <c r="A34" s="3"/>
      <c r="B34" s="755" t="s">
        <v>442</v>
      </c>
      <c r="C34" s="841" t="s">
        <v>10</v>
      </c>
      <c r="D34" s="842"/>
      <c r="E34" s="756">
        <v>45108</v>
      </c>
      <c r="F34" s="757">
        <v>45473</v>
      </c>
      <c r="G34" s="758">
        <v>100000</v>
      </c>
      <c r="H34" s="759">
        <v>0</v>
      </c>
      <c r="I34" s="758">
        <v>0</v>
      </c>
      <c r="J34" s="759">
        <f>H34</f>
        <v>0</v>
      </c>
      <c r="K34" s="758"/>
      <c r="L34" s="760">
        <f t="shared" si="8"/>
        <v>0</v>
      </c>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row>
    <row r="35" spans="1:120" ht="18" hidden="1" x14ac:dyDescent="0.25">
      <c r="A35" s="3"/>
      <c r="B35" s="192" t="s">
        <v>366</v>
      </c>
      <c r="C35" s="840" t="s">
        <v>15</v>
      </c>
      <c r="D35" s="839"/>
      <c r="E35" s="196">
        <v>44562</v>
      </c>
      <c r="F35" s="4">
        <v>45291</v>
      </c>
      <c r="G35" s="199"/>
      <c r="H35" s="212"/>
      <c r="I35" s="199"/>
      <c r="J35" s="212"/>
      <c r="K35" s="199"/>
      <c r="L35" s="211"/>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row>
    <row r="36" spans="1:120" ht="18" hidden="1" x14ac:dyDescent="0.25">
      <c r="A36" s="3"/>
      <c r="B36" s="192" t="s">
        <v>505</v>
      </c>
      <c r="C36" s="555" t="s">
        <v>381</v>
      </c>
      <c r="D36" s="506"/>
      <c r="E36" s="196">
        <v>44927</v>
      </c>
      <c r="F36" s="4">
        <v>45291</v>
      </c>
      <c r="G36" s="199"/>
      <c r="H36" s="199"/>
      <c r="I36" s="199"/>
      <c r="J36" s="199">
        <f>H36-I36</f>
        <v>0</v>
      </c>
      <c r="K36" s="211">
        <f>J36</f>
        <v>0</v>
      </c>
      <c r="L36" s="263"/>
      <c r="M36" s="561"/>
      <c r="N36" s="212"/>
      <c r="O36" s="212"/>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row>
    <row r="37" spans="1:120" ht="18" x14ac:dyDescent="0.25">
      <c r="A37" s="3"/>
      <c r="B37" s="192" t="s">
        <v>554</v>
      </c>
      <c r="C37" s="840" t="s">
        <v>15</v>
      </c>
      <c r="D37" s="839"/>
      <c r="E37" s="196">
        <v>45658</v>
      </c>
      <c r="F37" s="4">
        <v>46387</v>
      </c>
      <c r="G37" s="199">
        <v>175000</v>
      </c>
      <c r="H37" s="212">
        <v>55000</v>
      </c>
      <c r="I37" s="199">
        <f>H37/12*2</f>
        <v>9166.6666666666661</v>
      </c>
      <c r="J37" s="212">
        <f>H37-I37</f>
        <v>45833.333333333336</v>
      </c>
      <c r="K37" s="211"/>
      <c r="L37" s="263">
        <f t="shared" ref="L37" si="10">J37</f>
        <v>45833.333333333336</v>
      </c>
      <c r="M37" s="212"/>
      <c r="N37" s="212"/>
      <c r="O37" s="212"/>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row>
    <row r="38" spans="1:120" s="1" customFormat="1" ht="18" x14ac:dyDescent="0.25">
      <c r="A38" s="3"/>
      <c r="B38" s="192" t="s">
        <v>16</v>
      </c>
      <c r="C38" s="835" t="s">
        <v>37</v>
      </c>
      <c r="D38" s="835"/>
      <c r="E38" s="196">
        <v>40226</v>
      </c>
      <c r="F38" s="3" t="s">
        <v>23</v>
      </c>
      <c r="G38" s="199">
        <f>8007.78+5000+50</f>
        <v>13057.779999999999</v>
      </c>
      <c r="H38" s="212">
        <v>898.7</v>
      </c>
      <c r="I38" s="199">
        <v>899</v>
      </c>
      <c r="J38" s="212">
        <f>+H38-I38</f>
        <v>-0.29999999999995453</v>
      </c>
      <c r="K38" s="199">
        <f>J38</f>
        <v>-0.29999999999995453</v>
      </c>
      <c r="L38" s="263">
        <v>0</v>
      </c>
      <c r="M38" s="19"/>
      <c r="N38" s="19"/>
      <c r="O38" s="19"/>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row>
    <row r="39" spans="1:120" s="1" customFormat="1" ht="18" hidden="1" x14ac:dyDescent="0.25">
      <c r="A39" s="3"/>
      <c r="B39" s="192" t="s">
        <v>367</v>
      </c>
      <c r="C39" s="835" t="s">
        <v>381</v>
      </c>
      <c r="D39" s="835"/>
      <c r="E39" s="196">
        <v>43770</v>
      </c>
      <c r="F39" s="4">
        <v>44196</v>
      </c>
      <c r="G39" s="199"/>
      <c r="H39" s="212"/>
      <c r="I39" s="199"/>
      <c r="J39" s="212"/>
      <c r="K39" s="199"/>
      <c r="L39" s="211"/>
      <c r="M39" s="19"/>
      <c r="N39" s="19"/>
      <c r="O39" s="19"/>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row>
    <row r="40" spans="1:120" s="1" customFormat="1" ht="18" x14ac:dyDescent="0.25">
      <c r="A40" s="3"/>
      <c r="B40" s="192" t="s">
        <v>576</v>
      </c>
      <c r="C40" s="840" t="s">
        <v>567</v>
      </c>
      <c r="D40" s="839"/>
      <c r="E40" s="196">
        <v>45292</v>
      </c>
      <c r="F40" s="4">
        <v>45657</v>
      </c>
      <c r="G40" s="199">
        <v>125000</v>
      </c>
      <c r="H40" s="212">
        <v>125000</v>
      </c>
      <c r="I40" s="199">
        <v>125000</v>
      </c>
      <c r="J40" s="212">
        <f>125000-I40</f>
        <v>0</v>
      </c>
      <c r="K40" s="199"/>
      <c r="L40" s="211">
        <f>J40</f>
        <v>0</v>
      </c>
      <c r="M40" s="19"/>
      <c r="N40" s="19"/>
      <c r="O40" s="19"/>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row>
    <row r="41" spans="1:120" s="1" customFormat="1" ht="18" x14ac:dyDescent="0.25">
      <c r="A41" s="3"/>
      <c r="B41" s="192" t="s">
        <v>576</v>
      </c>
      <c r="C41" s="840" t="s">
        <v>567</v>
      </c>
      <c r="D41" s="839"/>
      <c r="E41" s="196">
        <v>45658</v>
      </c>
      <c r="F41" s="4">
        <v>46022</v>
      </c>
      <c r="G41" s="199">
        <v>125000</v>
      </c>
      <c r="H41" s="212">
        <v>0</v>
      </c>
      <c r="I41" s="199">
        <v>17440.25</v>
      </c>
      <c r="J41" s="212">
        <f>125000-I41</f>
        <v>107559.75</v>
      </c>
      <c r="K41" s="199"/>
      <c r="L41" s="211">
        <f>J41</f>
        <v>107559.75</v>
      </c>
      <c r="M41" s="19"/>
      <c r="N41" s="19"/>
      <c r="O41" s="19"/>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row>
    <row r="42" spans="1:120" s="1" customFormat="1" ht="18.75" thickBot="1" x14ac:dyDescent="0.3">
      <c r="A42" s="3"/>
      <c r="B42" s="192" t="s">
        <v>596</v>
      </c>
      <c r="C42" s="840" t="s">
        <v>624</v>
      </c>
      <c r="D42" s="839"/>
      <c r="E42" s="196">
        <v>45566</v>
      </c>
      <c r="F42" s="4">
        <v>45930</v>
      </c>
      <c r="G42" s="199">
        <v>25000</v>
      </c>
      <c r="H42" s="212">
        <f>25000-(25000/12*3)</f>
        <v>18750</v>
      </c>
      <c r="I42" s="199">
        <f>2083.33*2</f>
        <v>4166.66</v>
      </c>
      <c r="J42" s="212">
        <f>H42-I42</f>
        <v>14583.34</v>
      </c>
      <c r="K42" s="199"/>
      <c r="L42" s="263">
        <f t="shared" ref="L42" si="11">J42</f>
        <v>14583.34</v>
      </c>
      <c r="M42" s="19"/>
      <c r="N42" s="19"/>
      <c r="O42" s="19"/>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row>
    <row r="43" spans="1:120" s="1" customFormat="1" ht="18.75" thickBot="1" x14ac:dyDescent="0.3">
      <c r="A43" s="3"/>
      <c r="B43" s="192" t="s">
        <v>596</v>
      </c>
      <c r="C43" s="840" t="s">
        <v>624</v>
      </c>
      <c r="D43" s="839"/>
      <c r="E43" s="196">
        <v>45931</v>
      </c>
      <c r="F43" s="4">
        <v>46295</v>
      </c>
      <c r="G43" s="199">
        <v>25000</v>
      </c>
      <c r="H43" s="212">
        <v>25000</v>
      </c>
      <c r="I43" s="199">
        <v>0</v>
      </c>
      <c r="J43" s="212">
        <f>H43-I43</f>
        <v>25000</v>
      </c>
      <c r="K43" s="199"/>
      <c r="L43" s="263">
        <f t="shared" ref="L43" si="12">J43</f>
        <v>25000</v>
      </c>
      <c r="M43" s="503" t="s">
        <v>94</v>
      </c>
      <c r="N43" s="19"/>
      <c r="O43" s="641"/>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row>
    <row r="44" spans="1:120" s="165" customFormat="1" ht="18.75" thickBot="1" x14ac:dyDescent="0.3">
      <c r="A44" s="631"/>
      <c r="B44" s="191" t="s">
        <v>26</v>
      </c>
      <c r="C44" s="194"/>
      <c r="D44" s="194"/>
      <c r="E44" s="195"/>
      <c r="F44" s="195"/>
      <c r="G44" s="198">
        <f>SUM(G22:G40)</f>
        <v>455557.78</v>
      </c>
      <c r="H44" s="194">
        <f>SUM(H22:H43)</f>
        <v>259648.7</v>
      </c>
      <c r="I44" s="510">
        <f>SUM(I22:I40)</f>
        <v>164418.08666666667</v>
      </c>
      <c r="J44" s="599">
        <f>SUM(J22:J43)</f>
        <v>223623.70333333334</v>
      </c>
      <c r="K44" s="201">
        <f>SUM(K22:K40)</f>
        <v>-0.29999999999995453</v>
      </c>
      <c r="L44" s="202">
        <f>SUM(L22:L43)</f>
        <v>223624.00333333333</v>
      </c>
      <c r="M44" s="287">
        <f>L17+L44+0.02</f>
        <v>223624.02333333332</v>
      </c>
      <c r="N44" s="19"/>
      <c r="O44" s="19"/>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row>
    <row r="45" spans="1:120" ht="18.75" thickBot="1" x14ac:dyDescent="0.3">
      <c r="O45" s="18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row>
    <row r="46" spans="1:120" s="13" customFormat="1" ht="18.75" thickBot="1" x14ac:dyDescent="0.3">
      <c r="A46" s="632"/>
      <c r="B46" s="203" t="s">
        <v>134</v>
      </c>
      <c r="C46" s="204"/>
      <c r="D46" s="205"/>
      <c r="E46" s="205"/>
      <c r="F46" s="205"/>
      <c r="G46" s="206"/>
      <c r="H46" s="206"/>
      <c r="I46" s="206"/>
      <c r="J46" s="206"/>
      <c r="K46" s="206"/>
      <c r="L46" s="208"/>
      <c r="M46" s="206"/>
      <c r="N46" s="209"/>
      <c r="O46" s="639"/>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row>
    <row r="47" spans="1:120" s="15" customFormat="1" ht="33.75" customHeight="1" thickBot="1" x14ac:dyDescent="0.3">
      <c r="A47" s="12"/>
      <c r="B47" s="216" t="s">
        <v>29</v>
      </c>
      <c r="C47" s="832" t="s">
        <v>22</v>
      </c>
      <c r="D47" s="833"/>
      <c r="E47" s="833"/>
      <c r="F47" s="837"/>
      <c r="G47" s="220" t="s">
        <v>34</v>
      </c>
      <c r="H47" s="169" t="s">
        <v>705</v>
      </c>
      <c r="I47" s="169" t="s">
        <v>157</v>
      </c>
      <c r="J47" s="169" t="s">
        <v>434</v>
      </c>
      <c r="K47" s="169" t="s">
        <v>158</v>
      </c>
      <c r="L47" s="169" t="s">
        <v>9</v>
      </c>
      <c r="M47" s="169" t="s">
        <v>316</v>
      </c>
      <c r="N47" s="169" t="s">
        <v>4</v>
      </c>
      <c r="O47" s="639"/>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row>
    <row r="48" spans="1:120" ht="18" hidden="1" x14ac:dyDescent="0.25">
      <c r="B48" s="192" t="s">
        <v>431</v>
      </c>
      <c r="C48" s="505" t="s">
        <v>427</v>
      </c>
      <c r="D48" s="506"/>
      <c r="E48" s="506"/>
      <c r="F48" s="507"/>
      <c r="G48" s="199"/>
      <c r="H48" s="199"/>
      <c r="I48" s="199"/>
      <c r="J48" s="199"/>
      <c r="K48" s="211"/>
      <c r="L48" s="263"/>
      <c r="M48" s="199">
        <f t="shared" ref="M48:M53" si="13">L48</f>
        <v>0</v>
      </c>
      <c r="N48" s="199"/>
      <c r="O48" s="639"/>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row>
    <row r="49" spans="1:120" ht="18" hidden="1" x14ac:dyDescent="0.25">
      <c r="B49" s="192" t="s">
        <v>511</v>
      </c>
      <c r="C49" s="505" t="s">
        <v>506</v>
      </c>
      <c r="D49" s="506"/>
      <c r="E49" s="506"/>
      <c r="F49" s="507"/>
      <c r="G49" s="199"/>
      <c r="H49" s="199"/>
      <c r="I49" s="199"/>
      <c r="J49" s="199"/>
      <c r="K49" s="211"/>
      <c r="L49" s="263"/>
      <c r="M49" s="199">
        <f t="shared" si="13"/>
        <v>0</v>
      </c>
      <c r="N49" s="199"/>
      <c r="O49" s="639"/>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row>
    <row r="50" spans="1:120" ht="18" x14ac:dyDescent="0.25">
      <c r="A50" s="3"/>
      <c r="B50" s="192" t="s">
        <v>707</v>
      </c>
      <c r="C50" s="505" t="s">
        <v>708</v>
      </c>
      <c r="D50" s="506"/>
      <c r="E50" s="506"/>
      <c r="F50" s="507"/>
      <c r="G50" s="199">
        <v>52000</v>
      </c>
      <c r="H50" s="199">
        <v>0</v>
      </c>
      <c r="I50" s="199">
        <v>0</v>
      </c>
      <c r="J50" s="199">
        <f>'February''25 AR Aging'!H13</f>
        <v>52000</v>
      </c>
      <c r="K50" s="211">
        <f>G50/12*2</f>
        <v>8666.6666666666661</v>
      </c>
      <c r="L50" s="263">
        <f>H50+I50-K50+J50</f>
        <v>43333.333333333336</v>
      </c>
      <c r="M50" s="199">
        <f t="shared" si="13"/>
        <v>43333.333333333336</v>
      </c>
      <c r="N50" s="199"/>
      <c r="O50" s="639"/>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row>
    <row r="51" spans="1:120" ht="18" hidden="1" x14ac:dyDescent="0.25">
      <c r="A51" s="3"/>
      <c r="B51" s="192" t="s">
        <v>569</v>
      </c>
      <c r="C51" s="834" t="s">
        <v>507</v>
      </c>
      <c r="D51" s="835"/>
      <c r="E51" s="835"/>
      <c r="F51" s="836"/>
      <c r="G51" s="199"/>
      <c r="H51" s="199"/>
      <c r="I51" s="199"/>
      <c r="J51" s="199"/>
      <c r="K51" s="637"/>
      <c r="L51" s="263"/>
      <c r="M51" s="199">
        <f t="shared" si="13"/>
        <v>0</v>
      </c>
      <c r="N51" s="199"/>
      <c r="O51" s="639"/>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row>
    <row r="52" spans="1:120" ht="18" x14ac:dyDescent="0.25">
      <c r="A52" s="3"/>
      <c r="B52" s="192" t="s">
        <v>577</v>
      </c>
      <c r="C52" s="834" t="s">
        <v>568</v>
      </c>
      <c r="D52" s="835"/>
      <c r="E52" s="835"/>
      <c r="F52" s="836"/>
      <c r="G52" s="199">
        <v>21000</v>
      </c>
      <c r="H52" s="199"/>
      <c r="I52" s="199">
        <v>21000</v>
      </c>
      <c r="J52" s="199"/>
      <c r="K52" s="211">
        <f>21000/12*12</f>
        <v>21000</v>
      </c>
      <c r="L52" s="263">
        <f>H52+I52-K52+J52</f>
        <v>0</v>
      </c>
      <c r="M52" s="199">
        <f t="shared" si="13"/>
        <v>0</v>
      </c>
      <c r="N52" s="199"/>
      <c r="O52" s="639"/>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row>
    <row r="53" spans="1:120" ht="18" x14ac:dyDescent="0.25">
      <c r="A53" s="3"/>
      <c r="B53" s="192" t="s">
        <v>655</v>
      </c>
      <c r="C53" s="834" t="s">
        <v>656</v>
      </c>
      <c r="D53" s="835"/>
      <c r="E53" s="835"/>
      <c r="F53" s="836"/>
      <c r="G53" s="199">
        <v>17500</v>
      </c>
      <c r="H53" s="212"/>
      <c r="I53" s="199"/>
      <c r="J53" s="199">
        <f>'February''25 AR Aging'!H39</f>
        <v>17500</v>
      </c>
      <c r="K53" s="211">
        <f>G53/12*2</f>
        <v>2916.6666666666665</v>
      </c>
      <c r="L53" s="263">
        <f>H53+I53-K53+J53</f>
        <v>14583.333333333334</v>
      </c>
      <c r="M53" s="199">
        <f t="shared" si="13"/>
        <v>14583.333333333334</v>
      </c>
      <c r="N53" s="199"/>
      <c r="O53" s="639"/>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row>
    <row r="54" spans="1:120" ht="18" x14ac:dyDescent="0.25">
      <c r="A54" s="3"/>
      <c r="B54" s="192" t="s">
        <v>432</v>
      </c>
      <c r="C54" s="505" t="s">
        <v>578</v>
      </c>
      <c r="D54" s="506"/>
      <c r="E54" s="506"/>
      <c r="F54" s="507"/>
      <c r="G54" s="199"/>
      <c r="I54" s="199"/>
      <c r="J54" s="199">
        <f>'February''25 AR Aging'!H40</f>
        <v>120</v>
      </c>
      <c r="K54" s="211">
        <v>0</v>
      </c>
      <c r="L54" s="263">
        <f>H54+I54-K54+J54</f>
        <v>120</v>
      </c>
      <c r="M54" s="199"/>
      <c r="N54" s="199"/>
      <c r="O54" s="639"/>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row>
    <row r="55" spans="1:120" ht="18" hidden="1" x14ac:dyDescent="0.25">
      <c r="A55" s="3"/>
      <c r="B55" s="761" t="s">
        <v>433</v>
      </c>
      <c r="C55" s="717" t="s">
        <v>578</v>
      </c>
      <c r="D55" s="762"/>
      <c r="E55" s="762"/>
      <c r="F55" s="763"/>
      <c r="G55" s="764">
        <v>0</v>
      </c>
      <c r="H55" s="764"/>
      <c r="I55" s="764"/>
      <c r="J55" s="764">
        <v>0</v>
      </c>
      <c r="K55" s="765">
        <v>0</v>
      </c>
      <c r="L55" s="766">
        <v>0</v>
      </c>
      <c r="M55" s="199"/>
      <c r="N55" s="199"/>
      <c r="O55" s="639"/>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c r="DP55" s="18"/>
    </row>
    <row r="56" spans="1:120" ht="18" x14ac:dyDescent="0.25">
      <c r="A56" s="3"/>
      <c r="B56" s="192" t="s">
        <v>18</v>
      </c>
      <c r="C56" s="834" t="s">
        <v>408</v>
      </c>
      <c r="D56" s="835"/>
      <c r="E56" s="835"/>
      <c r="F56" s="836"/>
      <c r="G56" s="199"/>
      <c r="H56" s="199"/>
      <c r="I56" s="199">
        <f>K56</f>
        <v>2223</v>
      </c>
      <c r="J56" s="199"/>
      <c r="K56" s="211">
        <v>2223</v>
      </c>
      <c r="L56" s="263">
        <f>I56-K56</f>
        <v>0</v>
      </c>
      <c r="M56" s="199">
        <v>0</v>
      </c>
      <c r="N56" s="199">
        <v>0</v>
      </c>
      <c r="O56" s="639"/>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row>
    <row r="57" spans="1:120" ht="18" hidden="1" x14ac:dyDescent="0.25">
      <c r="A57" s="3"/>
      <c r="B57" s="192" t="s">
        <v>570</v>
      </c>
      <c r="C57" s="505" t="s">
        <v>542</v>
      </c>
      <c r="D57" s="506"/>
      <c r="E57" s="506"/>
      <c r="F57" s="507"/>
      <c r="G57" s="199"/>
      <c r="H57" s="199"/>
      <c r="I57" s="211"/>
      <c r="J57" s="199"/>
      <c r="K57" s="211"/>
      <c r="L57" s="263">
        <f>I57-K57</f>
        <v>0</v>
      </c>
      <c r="M57" s="199"/>
      <c r="N57" s="199"/>
      <c r="O57" s="639"/>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row>
    <row r="58" spans="1:120" ht="18" x14ac:dyDescent="0.25">
      <c r="A58" s="3"/>
      <c r="B58" s="192" t="s">
        <v>18</v>
      </c>
      <c r="C58" s="834" t="s">
        <v>5</v>
      </c>
      <c r="D58" s="835"/>
      <c r="E58" s="835"/>
      <c r="F58" s="836"/>
      <c r="G58" s="199"/>
      <c r="H58" s="199">
        <v>0</v>
      </c>
      <c r="I58" s="199"/>
      <c r="J58" s="199"/>
      <c r="K58" s="211">
        <v>0</v>
      </c>
      <c r="L58" s="263">
        <f>H58+I58-K58</f>
        <v>0</v>
      </c>
      <c r="M58" s="199">
        <f>L58</f>
        <v>0</v>
      </c>
      <c r="N58" s="199">
        <v>0</v>
      </c>
      <c r="O58" s="639"/>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row>
    <row r="59" spans="1:120" ht="18" x14ac:dyDescent="0.25">
      <c r="A59" s="3"/>
      <c r="B59" s="192" t="s">
        <v>18</v>
      </c>
      <c r="C59" s="834" t="s">
        <v>6</v>
      </c>
      <c r="D59" s="835"/>
      <c r="E59" s="835"/>
      <c r="F59" s="836"/>
      <c r="G59" s="199"/>
      <c r="H59" s="199">
        <v>13601.69</v>
      </c>
      <c r="I59" s="199">
        <v>500</v>
      </c>
      <c r="J59" s="199"/>
      <c r="K59" s="211">
        <v>1089.2</v>
      </c>
      <c r="L59" s="263">
        <f>H59+I59-K59</f>
        <v>13012.49</v>
      </c>
      <c r="M59" s="199">
        <f>L59</f>
        <v>13012.49</v>
      </c>
      <c r="N59" s="199">
        <v>0</v>
      </c>
      <c r="O59" s="639"/>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c r="CW59" s="18"/>
      <c r="CX59" s="18"/>
      <c r="CY59" s="18"/>
      <c r="CZ59" s="18"/>
      <c r="DA59" s="18"/>
      <c r="DB59" s="18"/>
      <c r="DC59" s="18"/>
      <c r="DD59" s="18"/>
      <c r="DE59" s="18"/>
      <c r="DF59" s="18"/>
      <c r="DG59" s="18"/>
      <c r="DH59" s="18"/>
      <c r="DI59" s="18"/>
      <c r="DJ59" s="18"/>
      <c r="DK59" s="18"/>
      <c r="DL59" s="18"/>
      <c r="DM59" s="18"/>
      <c r="DN59" s="18"/>
      <c r="DO59" s="18"/>
      <c r="DP59" s="18"/>
    </row>
    <row r="60" spans="1:120" ht="18" x14ac:dyDescent="0.25">
      <c r="A60" s="3"/>
      <c r="B60" s="192" t="s">
        <v>18</v>
      </c>
      <c r="C60" s="834" t="s">
        <v>7</v>
      </c>
      <c r="D60" s="835"/>
      <c r="E60" s="835"/>
      <c r="F60" s="836"/>
      <c r="G60" s="199"/>
      <c r="H60" s="199">
        <v>7823.99</v>
      </c>
      <c r="I60" s="199"/>
      <c r="J60" s="199"/>
      <c r="K60" s="211">
        <v>104.41</v>
      </c>
      <c r="L60" s="263">
        <f>H60+I60-K60</f>
        <v>7719.58</v>
      </c>
      <c r="M60" s="199">
        <f>L60</f>
        <v>7719.58</v>
      </c>
      <c r="N60" s="199">
        <v>0</v>
      </c>
      <c r="O60" s="639"/>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row>
    <row r="61" spans="1:120" s="17" customFormat="1" ht="18" x14ac:dyDescent="0.25">
      <c r="A61" s="3"/>
      <c r="B61" s="192" t="s">
        <v>359</v>
      </c>
      <c r="C61" s="844" t="s">
        <v>713</v>
      </c>
      <c r="D61" s="845"/>
      <c r="E61" s="845"/>
      <c r="F61" s="846"/>
      <c r="G61" s="199">
        <v>0</v>
      </c>
      <c r="H61" s="199">
        <v>0</v>
      </c>
      <c r="I61" s="199">
        <v>0</v>
      </c>
      <c r="J61" s="199">
        <v>0</v>
      </c>
      <c r="K61" s="211">
        <v>0</v>
      </c>
      <c r="L61" s="263">
        <f>I61-K61</f>
        <v>0</v>
      </c>
      <c r="M61" s="199">
        <f>L61</f>
        <v>0</v>
      </c>
      <c r="N61" s="199"/>
      <c r="O61" s="639"/>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row>
    <row r="62" spans="1:120" s="17" customFormat="1" ht="18" hidden="1" x14ac:dyDescent="0.25">
      <c r="A62" s="3"/>
      <c r="B62" s="192" t="s">
        <v>18</v>
      </c>
      <c r="C62" s="505"/>
      <c r="D62" s="506"/>
      <c r="E62" s="506"/>
      <c r="F62" s="507"/>
      <c r="G62" s="199"/>
      <c r="H62" s="199"/>
      <c r="I62" s="199"/>
      <c r="J62" s="199"/>
      <c r="K62" s="199"/>
      <c r="L62" s="199"/>
      <c r="M62" s="199"/>
      <c r="N62" s="199"/>
      <c r="O62" s="639"/>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c r="DN62" s="18"/>
      <c r="DO62" s="18"/>
      <c r="DP62" s="18"/>
    </row>
    <row r="63" spans="1:120" ht="15" customHeight="1" thickBot="1" x14ac:dyDescent="0.3">
      <c r="A63" s="3"/>
      <c r="B63" s="193"/>
      <c r="C63" s="834"/>
      <c r="D63" s="835"/>
      <c r="E63" s="835"/>
      <c r="F63" s="836"/>
      <c r="G63" s="200"/>
      <c r="H63" s="200"/>
      <c r="I63" s="200"/>
      <c r="J63" s="207"/>
      <c r="K63" s="200"/>
      <c r="L63" s="200"/>
      <c r="M63" s="200"/>
      <c r="N63" s="200">
        <v>0</v>
      </c>
      <c r="O63" s="639"/>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c r="CR63" s="18"/>
      <c r="CS63" s="18"/>
      <c r="CT63" s="18"/>
      <c r="CU63" s="18"/>
      <c r="CV63" s="18"/>
      <c r="CW63" s="18"/>
      <c r="CX63" s="18"/>
      <c r="CY63" s="18"/>
      <c r="CZ63" s="18"/>
      <c r="DA63" s="18"/>
      <c r="DB63" s="18"/>
      <c r="DC63" s="18"/>
      <c r="DD63" s="18"/>
      <c r="DE63" s="18"/>
      <c r="DF63" s="18"/>
      <c r="DG63" s="18"/>
      <c r="DH63" s="18"/>
      <c r="DI63" s="18"/>
      <c r="DJ63" s="18"/>
      <c r="DK63" s="18"/>
      <c r="DL63" s="18"/>
      <c r="DM63" s="18"/>
      <c r="DN63" s="18"/>
      <c r="DO63" s="18"/>
      <c r="DP63" s="18"/>
    </row>
    <row r="64" spans="1:120" s="165" customFormat="1" ht="18.75" thickBot="1" x14ac:dyDescent="0.3">
      <c r="A64" s="631"/>
      <c r="B64" s="217" t="s">
        <v>32</v>
      </c>
      <c r="C64" s="218"/>
      <c r="D64" s="218"/>
      <c r="E64" s="218"/>
      <c r="F64" s="219"/>
      <c r="G64" s="256">
        <f t="shared" ref="G64:N64" si="14">SUM(G48:G63)</f>
        <v>90500</v>
      </c>
      <c r="H64" s="257">
        <f t="shared" si="14"/>
        <v>21425.68</v>
      </c>
      <c r="I64" s="257">
        <f t="shared" si="14"/>
        <v>23723</v>
      </c>
      <c r="J64" s="257">
        <f t="shared" si="14"/>
        <v>69620</v>
      </c>
      <c r="K64" s="257">
        <f t="shared" si="14"/>
        <v>35999.943333333329</v>
      </c>
      <c r="L64" s="258">
        <f t="shared" si="14"/>
        <v>78768.736666666679</v>
      </c>
      <c r="M64" s="259">
        <f>SUM(M48:M63)</f>
        <v>78648.736666666679</v>
      </c>
      <c r="N64" s="258">
        <f t="shared" si="14"/>
        <v>0</v>
      </c>
      <c r="O64" s="639"/>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c r="DL64" s="18"/>
      <c r="DM64" s="18"/>
      <c r="DN64" s="18"/>
      <c r="DO64" s="18"/>
      <c r="DP64" s="18"/>
    </row>
    <row r="65" spans="1:120" ht="18.75" thickBot="1" x14ac:dyDescent="0.3">
      <c r="M65" s="448" t="s">
        <v>327</v>
      </c>
      <c r="O65" s="639"/>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c r="CW65" s="18"/>
      <c r="CX65" s="18"/>
      <c r="CY65" s="18"/>
      <c r="CZ65" s="18"/>
      <c r="DA65" s="18"/>
      <c r="DB65" s="18"/>
      <c r="DC65" s="18"/>
      <c r="DD65" s="18"/>
      <c r="DE65" s="18"/>
      <c r="DF65" s="18"/>
      <c r="DG65" s="18"/>
      <c r="DH65" s="18"/>
      <c r="DI65" s="18"/>
      <c r="DJ65" s="18"/>
      <c r="DK65" s="18"/>
      <c r="DL65" s="18"/>
      <c r="DM65" s="18"/>
      <c r="DN65" s="18"/>
      <c r="DO65" s="18"/>
      <c r="DP65" s="18"/>
    </row>
    <row r="66" spans="1:120" s="27" customFormat="1" ht="18.75" thickBot="1" x14ac:dyDescent="0.3">
      <c r="A66" s="633"/>
      <c r="B66" s="30"/>
      <c r="C66" s="31"/>
      <c r="D66" s="31"/>
      <c r="E66" s="31"/>
      <c r="F66" s="31"/>
      <c r="G66" s="31"/>
      <c r="H66" s="31"/>
      <c r="I66" s="31"/>
      <c r="J66" s="31"/>
      <c r="K66" s="31"/>
      <c r="L66" s="31"/>
      <c r="M66" s="329">
        <f>M64+K44</f>
        <v>78648.436666666676</v>
      </c>
      <c r="N66" s="444"/>
      <c r="O66" s="639"/>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c r="DM66" s="18"/>
      <c r="DN66" s="18"/>
      <c r="DO66" s="18"/>
      <c r="DP66" s="18"/>
    </row>
    <row r="67" spans="1:120" s="29" customFormat="1" ht="31.5" hidden="1" x14ac:dyDescent="0.25">
      <c r="A67" s="28"/>
      <c r="B67" s="32"/>
      <c r="C67" s="28"/>
      <c r="D67" s="28"/>
      <c r="E67" s="28"/>
      <c r="F67" s="28"/>
      <c r="G67" s="28"/>
      <c r="H67" s="94" t="s">
        <v>165</v>
      </c>
      <c r="I67" s="95" t="s">
        <v>157</v>
      </c>
      <c r="J67" s="95" t="s">
        <v>93</v>
      </c>
      <c r="K67" s="95" t="s">
        <v>50</v>
      </c>
      <c r="L67" s="96" t="s">
        <v>39</v>
      </c>
      <c r="M67" s="22"/>
      <c r="N67" s="22"/>
      <c r="O67" s="639"/>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c r="CW67" s="18"/>
      <c r="CX67" s="18"/>
      <c r="CY67" s="18"/>
      <c r="CZ67" s="18"/>
      <c r="DA67" s="18"/>
      <c r="DB67" s="18"/>
      <c r="DC67" s="18"/>
      <c r="DD67" s="18"/>
      <c r="DE67" s="18"/>
      <c r="DF67" s="18"/>
      <c r="DG67" s="18"/>
      <c r="DH67" s="18"/>
      <c r="DI67" s="18"/>
      <c r="DJ67" s="18"/>
      <c r="DK67" s="18"/>
      <c r="DL67" s="18"/>
      <c r="DM67" s="18"/>
      <c r="DN67" s="18"/>
      <c r="DO67" s="18"/>
      <c r="DP67" s="18"/>
    </row>
    <row r="68" spans="1:120" s="23" customFormat="1" ht="20.25" hidden="1" customHeight="1" x14ac:dyDescent="0.25">
      <c r="A68" s="634"/>
      <c r="B68" s="229" t="s">
        <v>67</v>
      </c>
      <c r="C68" s="848" t="s">
        <v>38</v>
      </c>
      <c r="D68" s="848"/>
      <c r="E68" s="848"/>
      <c r="F68" s="848"/>
      <c r="G68" s="230"/>
      <c r="H68" s="230" t="e">
        <f>104647.76-#REF!-1250-1250</f>
        <v>#REF!</v>
      </c>
      <c r="I68" s="230">
        <f>90450.47-K68-I71</f>
        <v>48072.49</v>
      </c>
      <c r="J68" s="230">
        <f>I56</f>
        <v>2223</v>
      </c>
      <c r="K68" s="230">
        <f>'December''24 AR Aging '!H40</f>
        <v>42377.98</v>
      </c>
      <c r="L68" s="231" t="e">
        <f>+J68+K68+I68-H68</f>
        <v>#REF!</v>
      </c>
      <c r="M68" s="26"/>
      <c r="N68" s="26"/>
      <c r="O68" s="639"/>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c r="CY68" s="18"/>
      <c r="CZ68" s="18"/>
      <c r="DA68" s="18"/>
      <c r="DB68" s="18"/>
      <c r="DC68" s="18"/>
      <c r="DD68" s="18"/>
      <c r="DE68" s="18"/>
      <c r="DF68" s="18"/>
      <c r="DG68" s="18"/>
      <c r="DH68" s="18"/>
      <c r="DI68" s="18"/>
      <c r="DJ68" s="18"/>
      <c r="DK68" s="18"/>
      <c r="DL68" s="18"/>
      <c r="DM68" s="18"/>
      <c r="DN68" s="18"/>
      <c r="DO68" s="18"/>
      <c r="DP68" s="18"/>
    </row>
    <row r="69" spans="1:120" s="17" customFormat="1" ht="18" hidden="1" x14ac:dyDescent="0.25">
      <c r="A69"/>
      <c r="B69" s="232" t="s">
        <v>30</v>
      </c>
      <c r="C69" s="847" t="s">
        <v>27</v>
      </c>
      <c r="D69" s="847"/>
      <c r="E69" s="847"/>
      <c r="F69" s="847"/>
      <c r="G69" s="227"/>
      <c r="H69" s="227"/>
      <c r="I69" s="227">
        <v>0</v>
      </c>
      <c r="J69" s="228"/>
      <c r="K69" s="227">
        <v>0</v>
      </c>
      <c r="L69" s="233"/>
      <c r="M69" s="212"/>
      <c r="N69" s="212">
        <v>0</v>
      </c>
      <c r="O69" s="639"/>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c r="DN69" s="18"/>
      <c r="DO69" s="18"/>
      <c r="DP69" s="18"/>
    </row>
    <row r="70" spans="1:120" ht="18" hidden="1" x14ac:dyDescent="0.25">
      <c r="B70" s="232" t="s">
        <v>18</v>
      </c>
      <c r="C70" s="849" t="s">
        <v>143</v>
      </c>
      <c r="D70" s="850"/>
      <c r="E70" s="850"/>
      <c r="F70" s="851"/>
      <c r="G70" s="227"/>
      <c r="H70" s="227"/>
      <c r="I70" s="227"/>
      <c r="J70" s="228"/>
      <c r="K70" s="227"/>
      <c r="L70" s="233"/>
      <c r="M70" s="212"/>
      <c r="N70" s="212"/>
      <c r="O70" s="639"/>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c r="DL70" s="18"/>
      <c r="DM70" s="18"/>
      <c r="DN70" s="18"/>
      <c r="DO70" s="18"/>
      <c r="DP70" s="18"/>
    </row>
    <row r="71" spans="1:120" ht="18.75" hidden="1" thickBot="1" x14ac:dyDescent="0.3">
      <c r="B71" s="234" t="s">
        <v>142</v>
      </c>
      <c r="C71" s="843" t="s">
        <v>38</v>
      </c>
      <c r="D71" s="843"/>
      <c r="E71" s="843"/>
      <c r="F71" s="843"/>
      <c r="G71" s="235"/>
      <c r="H71" s="235"/>
      <c r="I71" s="235">
        <v>0</v>
      </c>
      <c r="J71" s="235"/>
      <c r="K71" s="235"/>
      <c r="L71" s="236"/>
      <c r="M71" s="26"/>
      <c r="N71" s="26"/>
      <c r="O71" s="639"/>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c r="DL71" s="18"/>
      <c r="DM71" s="18"/>
      <c r="DN71" s="18"/>
      <c r="DO71" s="18"/>
      <c r="DP71" s="18"/>
    </row>
    <row r="72" spans="1:120" ht="18" hidden="1" x14ac:dyDescent="0.25">
      <c r="G72" s="148"/>
      <c r="H72" s="148"/>
      <c r="I72" s="148"/>
      <c r="J72" s="148"/>
      <c r="K72" s="148">
        <f>K68+J64+I17+K71</f>
        <v>349433.83999999997</v>
      </c>
      <c r="L72" s="148" t="s">
        <v>43</v>
      </c>
      <c r="O72" s="639"/>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row>
    <row r="73" spans="1:120" ht="18" hidden="1" x14ac:dyDescent="0.25">
      <c r="G73" s="148"/>
      <c r="H73" s="148"/>
      <c r="I73" s="148"/>
      <c r="J73" s="148"/>
      <c r="K73" s="142">
        <f>'December''24 AR Aging '!H89</f>
        <v>282364.40000000002</v>
      </c>
      <c r="L73" s="148" t="s">
        <v>425</v>
      </c>
      <c r="O73" s="639"/>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row>
    <row r="74" spans="1:120" ht="15" hidden="1" customHeight="1" thickBot="1" x14ac:dyDescent="0.3">
      <c r="G74" s="148"/>
      <c r="H74" s="148"/>
      <c r="I74" s="148"/>
      <c r="J74" s="148"/>
      <c r="K74" s="463">
        <f>K73-K72</f>
        <v>-67069.439999999944</v>
      </c>
      <c r="L74" s="148" t="s">
        <v>370</v>
      </c>
      <c r="O74" s="639"/>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c r="CW74" s="18"/>
      <c r="CX74" s="18"/>
      <c r="CY74" s="18"/>
      <c r="CZ74" s="18"/>
      <c r="DA74" s="18"/>
      <c r="DB74" s="18"/>
      <c r="DC74" s="18"/>
      <c r="DD74" s="18"/>
      <c r="DE74" s="18"/>
      <c r="DF74" s="18"/>
      <c r="DG74" s="18"/>
      <c r="DH74" s="18"/>
      <c r="DI74" s="18"/>
      <c r="DJ74" s="18"/>
      <c r="DK74" s="18"/>
      <c r="DL74" s="18"/>
      <c r="DM74" s="18"/>
      <c r="DN74" s="18"/>
      <c r="DO74" s="18"/>
      <c r="DP74" s="18"/>
    </row>
    <row r="75" spans="1:120" ht="18" x14ac:dyDescent="0.25">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c r="CR75" s="18"/>
      <c r="CS75" s="18"/>
      <c r="CT75" s="18"/>
      <c r="CU75" s="18"/>
      <c r="CV75" s="18"/>
      <c r="CW75" s="18"/>
      <c r="CX75" s="18"/>
      <c r="CY75" s="18"/>
      <c r="CZ75" s="18"/>
      <c r="DA75" s="18"/>
      <c r="DB75" s="18"/>
      <c r="DC75" s="18"/>
      <c r="DD75" s="18"/>
      <c r="DE75" s="18"/>
      <c r="DF75" s="18"/>
      <c r="DG75" s="18"/>
      <c r="DH75" s="18"/>
      <c r="DI75" s="18"/>
      <c r="DJ75" s="18"/>
      <c r="DK75" s="18"/>
      <c r="DL75" s="18"/>
      <c r="DM75" s="18"/>
      <c r="DN75" s="18"/>
      <c r="DO75" s="18"/>
      <c r="DP75" s="18"/>
    </row>
    <row r="76" spans="1:120" ht="18" x14ac:dyDescent="0.25">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c r="CR76" s="18"/>
      <c r="CS76" s="18"/>
      <c r="CT76" s="18"/>
      <c r="CU76" s="18"/>
      <c r="CV76" s="18"/>
      <c r="CW76" s="18"/>
      <c r="CX76" s="18"/>
      <c r="CY76" s="18"/>
      <c r="CZ76" s="18"/>
      <c r="DA76" s="18"/>
      <c r="DB76" s="18"/>
      <c r="DC76" s="18"/>
      <c r="DD76" s="18"/>
      <c r="DE76" s="18"/>
      <c r="DF76" s="18"/>
      <c r="DG76" s="18"/>
      <c r="DH76" s="18"/>
      <c r="DI76" s="18"/>
      <c r="DJ76" s="18"/>
      <c r="DK76" s="18"/>
      <c r="DL76" s="18"/>
      <c r="DM76" s="18"/>
      <c r="DN76" s="18"/>
      <c r="DO76" s="18"/>
      <c r="DP76" s="18"/>
    </row>
    <row r="77" spans="1:120" ht="18" x14ac:dyDescent="0.25">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c r="CW77" s="18"/>
      <c r="CX77" s="18"/>
      <c r="CY77" s="18"/>
      <c r="CZ77" s="18"/>
      <c r="DA77" s="18"/>
      <c r="DB77" s="18"/>
      <c r="DC77" s="18"/>
      <c r="DD77" s="18"/>
      <c r="DE77" s="18"/>
      <c r="DF77" s="18"/>
      <c r="DG77" s="18"/>
      <c r="DH77" s="18"/>
      <c r="DI77" s="18"/>
      <c r="DJ77" s="18"/>
      <c r="DK77" s="18"/>
      <c r="DL77" s="18"/>
      <c r="DM77" s="18"/>
      <c r="DN77" s="18"/>
      <c r="DO77" s="18"/>
      <c r="DP77" s="18"/>
    </row>
    <row r="78" spans="1:120" ht="18" x14ac:dyDescent="0.25">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c r="CR78" s="18"/>
      <c r="CS78" s="18"/>
      <c r="CT78" s="18"/>
      <c r="CU78" s="18"/>
      <c r="CV78" s="18"/>
      <c r="CW78" s="18"/>
      <c r="CX78" s="18"/>
      <c r="CY78" s="18"/>
      <c r="CZ78" s="18"/>
      <c r="DA78" s="18"/>
      <c r="DB78" s="18"/>
      <c r="DC78" s="18"/>
      <c r="DD78" s="18"/>
      <c r="DE78" s="18"/>
      <c r="DF78" s="18"/>
      <c r="DG78" s="18"/>
      <c r="DH78" s="18"/>
      <c r="DI78" s="18"/>
      <c r="DJ78" s="18"/>
      <c r="DK78" s="18"/>
      <c r="DL78" s="18"/>
      <c r="DM78" s="18"/>
      <c r="DN78" s="18"/>
      <c r="DO78" s="18"/>
      <c r="DP78" s="18"/>
    </row>
    <row r="84" spans="8:9" hidden="1" x14ac:dyDescent="0.2">
      <c r="H84" s="19" t="s">
        <v>615</v>
      </c>
      <c r="I84" s="19">
        <f>I17</f>
        <v>237435.86</v>
      </c>
    </row>
    <row r="85" spans="8:9" hidden="1" x14ac:dyDescent="0.2">
      <c r="H85" s="19" t="s">
        <v>616</v>
      </c>
    </row>
    <row r="86" spans="8:9" hidden="1" x14ac:dyDescent="0.2">
      <c r="H86" s="19" t="s">
        <v>621</v>
      </c>
      <c r="I86" s="19">
        <v>90</v>
      </c>
    </row>
    <row r="87" spans="8:9" hidden="1" x14ac:dyDescent="0.2">
      <c r="H87" s="19" t="s">
        <v>620</v>
      </c>
      <c r="I87" s="19">
        <f>'December''24 AR Aging '!H13</f>
        <v>1250</v>
      </c>
    </row>
    <row r="88" spans="8:9" hidden="1" x14ac:dyDescent="0.2">
      <c r="H88" s="19" t="s">
        <v>619</v>
      </c>
      <c r="I88" s="19">
        <f>'December''24 AR Aging '!H35</f>
        <v>25000</v>
      </c>
    </row>
    <row r="89" spans="8:9" hidden="1" x14ac:dyDescent="0.2">
      <c r="H89" s="19" t="s">
        <v>617</v>
      </c>
      <c r="I89" s="19">
        <f>'December''24 AR Aging '!H40</f>
        <v>42377.98</v>
      </c>
    </row>
    <row r="90" spans="8:9" ht="15" hidden="1" x14ac:dyDescent="0.25">
      <c r="H90" s="629" t="s">
        <v>618</v>
      </c>
      <c r="I90" s="629">
        <f>SUM(I84:I89)</f>
        <v>306153.83999999997</v>
      </c>
    </row>
  </sheetData>
  <mergeCells count="36">
    <mergeCell ref="C60:F60"/>
    <mergeCell ref="C25:D25"/>
    <mergeCell ref="C27:D27"/>
    <mergeCell ref="C28:D28"/>
    <mergeCell ref="C39:D39"/>
    <mergeCell ref="C32:D32"/>
    <mergeCell ref="C30:D30"/>
    <mergeCell ref="C29:D29"/>
    <mergeCell ref="C31:D31"/>
    <mergeCell ref="C43:D43"/>
    <mergeCell ref="C41:D41"/>
    <mergeCell ref="C37:D37"/>
    <mergeCell ref="C53:F53"/>
    <mergeCell ref="C42:D42"/>
    <mergeCell ref="C71:F71"/>
    <mergeCell ref="C61:F61"/>
    <mergeCell ref="C69:F69"/>
    <mergeCell ref="C63:F63"/>
    <mergeCell ref="C68:F68"/>
    <mergeCell ref="C70:F70"/>
    <mergeCell ref="C21:D21"/>
    <mergeCell ref="C59:F59"/>
    <mergeCell ref="C47:F47"/>
    <mergeCell ref="C23:D23"/>
    <mergeCell ref="C38:D38"/>
    <mergeCell ref="C40:D40"/>
    <mergeCell ref="C56:F56"/>
    <mergeCell ref="C58:F58"/>
    <mergeCell ref="C22:D22"/>
    <mergeCell ref="C51:F51"/>
    <mergeCell ref="C24:D24"/>
    <mergeCell ref="C35:D35"/>
    <mergeCell ref="C26:D26"/>
    <mergeCell ref="C52:F52"/>
    <mergeCell ref="C34:D34"/>
    <mergeCell ref="C33:D33"/>
  </mergeCells>
  <pageMargins left="0.45" right="0" top="0.75" bottom="0" header="0.3" footer="0.05"/>
  <pageSetup paperSize="5"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7DA2F-B486-4942-9DC0-6FEACD5D8561}">
  <sheetPr>
    <pageSetUpPr fitToPage="1"/>
  </sheetPr>
  <dimension ref="A1:LM199"/>
  <sheetViews>
    <sheetView topLeftCell="A29" zoomScale="70" zoomScaleNormal="70" workbookViewId="0">
      <selection activeCell="B1" sqref="B1:H72"/>
    </sheetView>
  </sheetViews>
  <sheetFormatPr defaultRowHeight="15" x14ac:dyDescent="0.25"/>
  <cols>
    <col min="2" max="2" width="1.875" style="34" customWidth="1"/>
    <col min="3" max="3" width="75.625" style="34" customWidth="1"/>
    <col min="4" max="6" width="17.125" style="77" customWidth="1"/>
    <col min="7" max="7" width="18.75" style="77" customWidth="1"/>
    <col min="8" max="8" width="16.875" style="419" customWidth="1"/>
    <col min="9" max="9" width="15.625" style="601" customWidth="1"/>
    <col min="10" max="10" width="19.25" style="19" hidden="1" customWidth="1"/>
    <col min="11" max="11" width="12.625" customWidth="1"/>
    <col min="252" max="252" width="2.875" customWidth="1"/>
    <col min="253" max="253" width="49" customWidth="1"/>
    <col min="254" max="254" width="16.875" bestFit="1" customWidth="1"/>
    <col min="255" max="255" width="13.625" bestFit="1" customWidth="1"/>
    <col min="256" max="256" width="15.375" bestFit="1" customWidth="1"/>
    <col min="257" max="257" width="7.5" bestFit="1" customWidth="1"/>
    <col min="258" max="258" width="15.25" customWidth="1"/>
    <col min="259" max="259" width="7.5" bestFit="1" customWidth="1"/>
    <col min="260" max="260" width="15.375" bestFit="1" customWidth="1"/>
    <col min="261" max="261" width="7.5" bestFit="1" customWidth="1"/>
    <col min="262" max="262" width="15.375" bestFit="1" customWidth="1"/>
    <col min="263" max="263" width="7.5" bestFit="1" customWidth="1"/>
    <col min="264" max="264" width="16.875" bestFit="1" customWidth="1"/>
    <col min="508" max="508" width="2.875" customWidth="1"/>
    <col min="509" max="509" width="49" customWidth="1"/>
    <col min="510" max="510" width="16.875" bestFit="1" customWidth="1"/>
    <col min="511" max="511" width="13.625" bestFit="1" customWidth="1"/>
    <col min="512" max="512" width="15.375" bestFit="1" customWidth="1"/>
    <col min="513" max="513" width="7.5" bestFit="1" customWidth="1"/>
    <col min="514" max="514" width="15.25" customWidth="1"/>
    <col min="515" max="515" width="7.5" bestFit="1" customWidth="1"/>
    <col min="516" max="516" width="15.375" bestFit="1" customWidth="1"/>
    <col min="517" max="517" width="7.5" bestFit="1" customWidth="1"/>
    <col min="518" max="518" width="15.375" bestFit="1" customWidth="1"/>
    <col min="519" max="519" width="7.5" bestFit="1" customWidth="1"/>
    <col min="520" max="520" width="16.875" bestFit="1" customWidth="1"/>
    <col min="764" max="764" width="2.875" customWidth="1"/>
    <col min="765" max="765" width="49" customWidth="1"/>
    <col min="766" max="766" width="16.875" bestFit="1" customWidth="1"/>
    <col min="767" max="767" width="13.625" bestFit="1" customWidth="1"/>
    <col min="768" max="768" width="15.375" bestFit="1" customWidth="1"/>
    <col min="769" max="769" width="7.5" bestFit="1" customWidth="1"/>
    <col min="770" max="770" width="15.25" customWidth="1"/>
    <col min="771" max="771" width="7.5" bestFit="1" customWidth="1"/>
    <col min="772" max="772" width="15.375" bestFit="1" customWidth="1"/>
    <col min="773" max="773" width="7.5" bestFit="1" customWidth="1"/>
    <col min="774" max="774" width="15.375" bestFit="1" customWidth="1"/>
    <col min="775" max="775" width="7.5" bestFit="1" customWidth="1"/>
    <col min="776" max="776" width="16.875" bestFit="1" customWidth="1"/>
    <col min="1020" max="1020" width="2.875" customWidth="1"/>
    <col min="1021" max="1021" width="49" customWidth="1"/>
    <col min="1022" max="1022" width="16.875" bestFit="1" customWidth="1"/>
    <col min="1023" max="1023" width="13.625" bestFit="1" customWidth="1"/>
    <col min="1024" max="1024" width="15.375" bestFit="1" customWidth="1"/>
    <col min="1025" max="1025" width="7.5" bestFit="1" customWidth="1"/>
    <col min="1026" max="1026" width="15.25" customWidth="1"/>
    <col min="1027" max="1027" width="7.5" bestFit="1" customWidth="1"/>
    <col min="1028" max="1028" width="15.375" bestFit="1" customWidth="1"/>
    <col min="1029" max="1029" width="7.5" bestFit="1" customWidth="1"/>
    <col min="1030" max="1030" width="15.375" bestFit="1" customWidth="1"/>
    <col min="1031" max="1031" width="7.5" bestFit="1" customWidth="1"/>
    <col min="1032" max="1032" width="16.875" bestFit="1" customWidth="1"/>
    <col min="1276" max="1276" width="2.875" customWidth="1"/>
    <col min="1277" max="1277" width="49" customWidth="1"/>
    <col min="1278" max="1278" width="16.875" bestFit="1" customWidth="1"/>
    <col min="1279" max="1279" width="13.625" bestFit="1" customWidth="1"/>
    <col min="1280" max="1280" width="15.375" bestFit="1" customWidth="1"/>
    <col min="1281" max="1281" width="7.5" bestFit="1" customWidth="1"/>
    <col min="1282" max="1282" width="15.25" customWidth="1"/>
    <col min="1283" max="1283" width="7.5" bestFit="1" customWidth="1"/>
    <col min="1284" max="1284" width="15.375" bestFit="1" customWidth="1"/>
    <col min="1285" max="1285" width="7.5" bestFit="1" customWidth="1"/>
    <col min="1286" max="1286" width="15.375" bestFit="1" customWidth="1"/>
    <col min="1287" max="1287" width="7.5" bestFit="1" customWidth="1"/>
    <col min="1288" max="1288" width="16.875" bestFit="1" customWidth="1"/>
    <col min="1532" max="1532" width="2.875" customWidth="1"/>
    <col min="1533" max="1533" width="49" customWidth="1"/>
    <col min="1534" max="1534" width="16.875" bestFit="1" customWidth="1"/>
    <col min="1535" max="1535" width="13.625" bestFit="1" customWidth="1"/>
    <col min="1536" max="1536" width="15.375" bestFit="1" customWidth="1"/>
    <col min="1537" max="1537" width="7.5" bestFit="1" customWidth="1"/>
    <col min="1538" max="1538" width="15.25" customWidth="1"/>
    <col min="1539" max="1539" width="7.5" bestFit="1" customWidth="1"/>
    <col min="1540" max="1540" width="15.375" bestFit="1" customWidth="1"/>
    <col min="1541" max="1541" width="7.5" bestFit="1" customWidth="1"/>
    <col min="1542" max="1542" width="15.375" bestFit="1" customWidth="1"/>
    <col min="1543" max="1543" width="7.5" bestFit="1" customWidth="1"/>
    <col min="1544" max="1544" width="16.875" bestFit="1" customWidth="1"/>
    <col min="1788" max="1788" width="2.875" customWidth="1"/>
    <col min="1789" max="1789" width="49" customWidth="1"/>
    <col min="1790" max="1790" width="16.875" bestFit="1" customWidth="1"/>
    <col min="1791" max="1791" width="13.625" bestFit="1" customWidth="1"/>
    <col min="1792" max="1792" width="15.375" bestFit="1" customWidth="1"/>
    <col min="1793" max="1793" width="7.5" bestFit="1" customWidth="1"/>
    <col min="1794" max="1794" width="15.25" customWidth="1"/>
    <col min="1795" max="1795" width="7.5" bestFit="1" customWidth="1"/>
    <col min="1796" max="1796" width="15.375" bestFit="1" customWidth="1"/>
    <col min="1797" max="1797" width="7.5" bestFit="1" customWidth="1"/>
    <col min="1798" max="1798" width="15.375" bestFit="1" customWidth="1"/>
    <col min="1799" max="1799" width="7.5" bestFit="1" customWidth="1"/>
    <col min="1800" max="1800" width="16.875" bestFit="1" customWidth="1"/>
    <col min="2044" max="2044" width="2.875" customWidth="1"/>
    <col min="2045" max="2045" width="49" customWidth="1"/>
    <col min="2046" max="2046" width="16.875" bestFit="1" customWidth="1"/>
    <col min="2047" max="2047" width="13.625" bestFit="1" customWidth="1"/>
    <col min="2048" max="2048" width="15.375" bestFit="1" customWidth="1"/>
    <col min="2049" max="2049" width="7.5" bestFit="1" customWidth="1"/>
    <col min="2050" max="2050" width="15.25" customWidth="1"/>
    <col min="2051" max="2051" width="7.5" bestFit="1" customWidth="1"/>
    <col min="2052" max="2052" width="15.375" bestFit="1" customWidth="1"/>
    <col min="2053" max="2053" width="7.5" bestFit="1" customWidth="1"/>
    <col min="2054" max="2054" width="15.375" bestFit="1" customWidth="1"/>
    <col min="2055" max="2055" width="7.5" bestFit="1" customWidth="1"/>
    <col min="2056" max="2056" width="16.875" bestFit="1" customWidth="1"/>
    <col min="2300" max="2300" width="2.875" customWidth="1"/>
    <col min="2301" max="2301" width="49" customWidth="1"/>
    <col min="2302" max="2302" width="16.875" bestFit="1" customWidth="1"/>
    <col min="2303" max="2303" width="13.625" bestFit="1" customWidth="1"/>
    <col min="2304" max="2304" width="15.375" bestFit="1" customWidth="1"/>
    <col min="2305" max="2305" width="7.5" bestFit="1" customWidth="1"/>
    <col min="2306" max="2306" width="15.25" customWidth="1"/>
    <col min="2307" max="2307" width="7.5" bestFit="1" customWidth="1"/>
    <col min="2308" max="2308" width="15.375" bestFit="1" customWidth="1"/>
    <col min="2309" max="2309" width="7.5" bestFit="1" customWidth="1"/>
    <col min="2310" max="2310" width="15.375" bestFit="1" customWidth="1"/>
    <col min="2311" max="2311" width="7.5" bestFit="1" customWidth="1"/>
    <col min="2312" max="2312" width="16.875" bestFit="1" customWidth="1"/>
    <col min="2556" max="2556" width="2.875" customWidth="1"/>
    <col min="2557" max="2557" width="49" customWidth="1"/>
    <col min="2558" max="2558" width="16.875" bestFit="1" customWidth="1"/>
    <col min="2559" max="2559" width="13.625" bestFit="1" customWidth="1"/>
    <col min="2560" max="2560" width="15.375" bestFit="1" customWidth="1"/>
    <col min="2561" max="2561" width="7.5" bestFit="1" customWidth="1"/>
    <col min="2562" max="2562" width="15.25" customWidth="1"/>
    <col min="2563" max="2563" width="7.5" bestFit="1" customWidth="1"/>
    <col min="2564" max="2564" width="15.375" bestFit="1" customWidth="1"/>
    <col min="2565" max="2565" width="7.5" bestFit="1" customWidth="1"/>
    <col min="2566" max="2566" width="15.375" bestFit="1" customWidth="1"/>
    <col min="2567" max="2567" width="7.5" bestFit="1" customWidth="1"/>
    <col min="2568" max="2568" width="16.875" bestFit="1" customWidth="1"/>
    <col min="2812" max="2812" width="2.875" customWidth="1"/>
    <col min="2813" max="2813" width="49" customWidth="1"/>
    <col min="2814" max="2814" width="16.875" bestFit="1" customWidth="1"/>
    <col min="2815" max="2815" width="13.625" bestFit="1" customWidth="1"/>
    <col min="2816" max="2816" width="15.375" bestFit="1" customWidth="1"/>
    <col min="2817" max="2817" width="7.5" bestFit="1" customWidth="1"/>
    <col min="2818" max="2818" width="15.25" customWidth="1"/>
    <col min="2819" max="2819" width="7.5" bestFit="1" customWidth="1"/>
    <col min="2820" max="2820" width="15.375" bestFit="1" customWidth="1"/>
    <col min="2821" max="2821" width="7.5" bestFit="1" customWidth="1"/>
    <col min="2822" max="2822" width="15.375" bestFit="1" customWidth="1"/>
    <col min="2823" max="2823" width="7.5" bestFit="1" customWidth="1"/>
    <col min="2824" max="2824" width="16.875" bestFit="1" customWidth="1"/>
    <col min="3068" max="3068" width="2.875" customWidth="1"/>
    <col min="3069" max="3069" width="49" customWidth="1"/>
    <col min="3070" max="3070" width="16.875" bestFit="1" customWidth="1"/>
    <col min="3071" max="3071" width="13.625" bestFit="1" customWidth="1"/>
    <col min="3072" max="3072" width="15.375" bestFit="1" customWidth="1"/>
    <col min="3073" max="3073" width="7.5" bestFit="1" customWidth="1"/>
    <col min="3074" max="3074" width="15.25" customWidth="1"/>
    <col min="3075" max="3075" width="7.5" bestFit="1" customWidth="1"/>
    <col min="3076" max="3076" width="15.375" bestFit="1" customWidth="1"/>
    <col min="3077" max="3077" width="7.5" bestFit="1" customWidth="1"/>
    <col min="3078" max="3078" width="15.375" bestFit="1" customWidth="1"/>
    <col min="3079" max="3079" width="7.5" bestFit="1" customWidth="1"/>
    <col min="3080" max="3080" width="16.875" bestFit="1" customWidth="1"/>
    <col min="3324" max="3324" width="2.875" customWidth="1"/>
    <col min="3325" max="3325" width="49" customWidth="1"/>
    <col min="3326" max="3326" width="16.875" bestFit="1" customWidth="1"/>
    <col min="3327" max="3327" width="13.625" bestFit="1" customWidth="1"/>
    <col min="3328" max="3328" width="15.375" bestFit="1" customWidth="1"/>
    <col min="3329" max="3329" width="7.5" bestFit="1" customWidth="1"/>
    <col min="3330" max="3330" width="15.25" customWidth="1"/>
    <col min="3331" max="3331" width="7.5" bestFit="1" customWidth="1"/>
    <col min="3332" max="3332" width="15.375" bestFit="1" customWidth="1"/>
    <col min="3333" max="3333" width="7.5" bestFit="1" customWidth="1"/>
    <col min="3334" max="3334" width="15.375" bestFit="1" customWidth="1"/>
    <col min="3335" max="3335" width="7.5" bestFit="1" customWidth="1"/>
    <col min="3336" max="3336" width="16.875" bestFit="1" customWidth="1"/>
    <col min="3580" max="3580" width="2.875" customWidth="1"/>
    <col min="3581" max="3581" width="49" customWidth="1"/>
    <col min="3582" max="3582" width="16.875" bestFit="1" customWidth="1"/>
    <col min="3583" max="3583" width="13.625" bestFit="1" customWidth="1"/>
    <col min="3584" max="3584" width="15.375" bestFit="1" customWidth="1"/>
    <col min="3585" max="3585" width="7.5" bestFit="1" customWidth="1"/>
    <col min="3586" max="3586" width="15.25" customWidth="1"/>
    <col min="3587" max="3587" width="7.5" bestFit="1" customWidth="1"/>
    <col min="3588" max="3588" width="15.375" bestFit="1" customWidth="1"/>
    <col min="3589" max="3589" width="7.5" bestFit="1" customWidth="1"/>
    <col min="3590" max="3590" width="15.375" bestFit="1" customWidth="1"/>
    <col min="3591" max="3591" width="7.5" bestFit="1" customWidth="1"/>
    <col min="3592" max="3592" width="16.875" bestFit="1" customWidth="1"/>
    <col min="3836" max="3836" width="2.875" customWidth="1"/>
    <col min="3837" max="3837" width="49" customWidth="1"/>
    <col min="3838" max="3838" width="16.875" bestFit="1" customWidth="1"/>
    <col min="3839" max="3839" width="13.625" bestFit="1" customWidth="1"/>
    <col min="3840" max="3840" width="15.375" bestFit="1" customWidth="1"/>
    <col min="3841" max="3841" width="7.5" bestFit="1" customWidth="1"/>
    <col min="3842" max="3842" width="15.25" customWidth="1"/>
    <col min="3843" max="3843" width="7.5" bestFit="1" customWidth="1"/>
    <col min="3844" max="3844" width="15.375" bestFit="1" customWidth="1"/>
    <col min="3845" max="3845" width="7.5" bestFit="1" customWidth="1"/>
    <col min="3846" max="3846" width="15.375" bestFit="1" customWidth="1"/>
    <col min="3847" max="3847" width="7.5" bestFit="1" customWidth="1"/>
    <col min="3848" max="3848" width="16.875" bestFit="1" customWidth="1"/>
    <col min="4092" max="4092" width="2.875" customWidth="1"/>
    <col min="4093" max="4093" width="49" customWidth="1"/>
    <col min="4094" max="4094" width="16.875" bestFit="1" customWidth="1"/>
    <col min="4095" max="4095" width="13.625" bestFit="1" customWidth="1"/>
    <col min="4096" max="4096" width="15.375" bestFit="1" customWidth="1"/>
    <col min="4097" max="4097" width="7.5" bestFit="1" customWidth="1"/>
    <col min="4098" max="4098" width="15.25" customWidth="1"/>
    <col min="4099" max="4099" width="7.5" bestFit="1" customWidth="1"/>
    <col min="4100" max="4100" width="15.375" bestFit="1" customWidth="1"/>
    <col min="4101" max="4101" width="7.5" bestFit="1" customWidth="1"/>
    <col min="4102" max="4102" width="15.375" bestFit="1" customWidth="1"/>
    <col min="4103" max="4103" width="7.5" bestFit="1" customWidth="1"/>
    <col min="4104" max="4104" width="16.875" bestFit="1" customWidth="1"/>
    <col min="4348" max="4348" width="2.875" customWidth="1"/>
    <col min="4349" max="4349" width="49" customWidth="1"/>
    <col min="4350" max="4350" width="16.875" bestFit="1" customWidth="1"/>
    <col min="4351" max="4351" width="13.625" bestFit="1" customWidth="1"/>
    <col min="4352" max="4352" width="15.375" bestFit="1" customWidth="1"/>
    <col min="4353" max="4353" width="7.5" bestFit="1" customWidth="1"/>
    <col min="4354" max="4354" width="15.25" customWidth="1"/>
    <col min="4355" max="4355" width="7.5" bestFit="1" customWidth="1"/>
    <col min="4356" max="4356" width="15.375" bestFit="1" customWidth="1"/>
    <col min="4357" max="4357" width="7.5" bestFit="1" customWidth="1"/>
    <col min="4358" max="4358" width="15.375" bestFit="1" customWidth="1"/>
    <col min="4359" max="4359" width="7.5" bestFit="1" customWidth="1"/>
    <col min="4360" max="4360" width="16.875" bestFit="1" customWidth="1"/>
    <col min="4604" max="4604" width="2.875" customWidth="1"/>
    <col min="4605" max="4605" width="49" customWidth="1"/>
    <col min="4606" max="4606" width="16.875" bestFit="1" customWidth="1"/>
    <col min="4607" max="4607" width="13.625" bestFit="1" customWidth="1"/>
    <col min="4608" max="4608" width="15.375" bestFit="1" customWidth="1"/>
    <col min="4609" max="4609" width="7.5" bestFit="1" customWidth="1"/>
    <col min="4610" max="4610" width="15.25" customWidth="1"/>
    <col min="4611" max="4611" width="7.5" bestFit="1" customWidth="1"/>
    <col min="4612" max="4612" width="15.375" bestFit="1" customWidth="1"/>
    <col min="4613" max="4613" width="7.5" bestFit="1" customWidth="1"/>
    <col min="4614" max="4614" width="15.375" bestFit="1" customWidth="1"/>
    <col min="4615" max="4615" width="7.5" bestFit="1" customWidth="1"/>
    <col min="4616" max="4616" width="16.875" bestFit="1" customWidth="1"/>
    <col min="4860" max="4860" width="2.875" customWidth="1"/>
    <col min="4861" max="4861" width="49" customWidth="1"/>
    <col min="4862" max="4862" width="16.875" bestFit="1" customWidth="1"/>
    <col min="4863" max="4863" width="13.625" bestFit="1" customWidth="1"/>
    <col min="4864" max="4864" width="15.375" bestFit="1" customWidth="1"/>
    <col min="4865" max="4865" width="7.5" bestFit="1" customWidth="1"/>
    <col min="4866" max="4866" width="15.25" customWidth="1"/>
    <col min="4867" max="4867" width="7.5" bestFit="1" customWidth="1"/>
    <col min="4868" max="4868" width="15.375" bestFit="1" customWidth="1"/>
    <col min="4869" max="4869" width="7.5" bestFit="1" customWidth="1"/>
    <col min="4870" max="4870" width="15.375" bestFit="1" customWidth="1"/>
    <col min="4871" max="4871" width="7.5" bestFit="1" customWidth="1"/>
    <col min="4872" max="4872" width="16.875" bestFit="1" customWidth="1"/>
    <col min="5116" max="5116" width="2.875" customWidth="1"/>
    <col min="5117" max="5117" width="49" customWidth="1"/>
    <col min="5118" max="5118" width="16.875" bestFit="1" customWidth="1"/>
    <col min="5119" max="5119" width="13.625" bestFit="1" customWidth="1"/>
    <col min="5120" max="5120" width="15.375" bestFit="1" customWidth="1"/>
    <col min="5121" max="5121" width="7.5" bestFit="1" customWidth="1"/>
    <col min="5122" max="5122" width="15.25" customWidth="1"/>
    <col min="5123" max="5123" width="7.5" bestFit="1" customWidth="1"/>
    <col min="5124" max="5124" width="15.375" bestFit="1" customWidth="1"/>
    <col min="5125" max="5125" width="7.5" bestFit="1" customWidth="1"/>
    <col min="5126" max="5126" width="15.375" bestFit="1" customWidth="1"/>
    <col min="5127" max="5127" width="7.5" bestFit="1" customWidth="1"/>
    <col min="5128" max="5128" width="16.875" bestFit="1" customWidth="1"/>
    <col min="5372" max="5372" width="2.875" customWidth="1"/>
    <col min="5373" max="5373" width="49" customWidth="1"/>
    <col min="5374" max="5374" width="16.875" bestFit="1" customWidth="1"/>
    <col min="5375" max="5375" width="13.625" bestFit="1" customWidth="1"/>
    <col min="5376" max="5376" width="15.375" bestFit="1" customWidth="1"/>
    <col min="5377" max="5377" width="7.5" bestFit="1" customWidth="1"/>
    <col min="5378" max="5378" width="15.25" customWidth="1"/>
    <col min="5379" max="5379" width="7.5" bestFit="1" customWidth="1"/>
    <col min="5380" max="5380" width="15.375" bestFit="1" customWidth="1"/>
    <col min="5381" max="5381" width="7.5" bestFit="1" customWidth="1"/>
    <col min="5382" max="5382" width="15.375" bestFit="1" customWidth="1"/>
    <col min="5383" max="5383" width="7.5" bestFit="1" customWidth="1"/>
    <col min="5384" max="5384" width="16.875" bestFit="1" customWidth="1"/>
    <col min="5628" max="5628" width="2.875" customWidth="1"/>
    <col min="5629" max="5629" width="49" customWidth="1"/>
    <col min="5630" max="5630" width="16.875" bestFit="1" customWidth="1"/>
    <col min="5631" max="5631" width="13.625" bestFit="1" customWidth="1"/>
    <col min="5632" max="5632" width="15.375" bestFit="1" customWidth="1"/>
    <col min="5633" max="5633" width="7.5" bestFit="1" customWidth="1"/>
    <col min="5634" max="5634" width="15.25" customWidth="1"/>
    <col min="5635" max="5635" width="7.5" bestFit="1" customWidth="1"/>
    <col min="5636" max="5636" width="15.375" bestFit="1" customWidth="1"/>
    <col min="5637" max="5637" width="7.5" bestFit="1" customWidth="1"/>
    <col min="5638" max="5638" width="15.375" bestFit="1" customWidth="1"/>
    <col min="5639" max="5639" width="7.5" bestFit="1" customWidth="1"/>
    <col min="5640" max="5640" width="16.875" bestFit="1" customWidth="1"/>
    <col min="5884" max="5884" width="2.875" customWidth="1"/>
    <col min="5885" max="5885" width="49" customWidth="1"/>
    <col min="5886" max="5886" width="16.875" bestFit="1" customWidth="1"/>
    <col min="5887" max="5887" width="13.625" bestFit="1" customWidth="1"/>
    <col min="5888" max="5888" width="15.375" bestFit="1" customWidth="1"/>
    <col min="5889" max="5889" width="7.5" bestFit="1" customWidth="1"/>
    <col min="5890" max="5890" width="15.25" customWidth="1"/>
    <col min="5891" max="5891" width="7.5" bestFit="1" customWidth="1"/>
    <col min="5892" max="5892" width="15.375" bestFit="1" customWidth="1"/>
    <col min="5893" max="5893" width="7.5" bestFit="1" customWidth="1"/>
    <col min="5894" max="5894" width="15.375" bestFit="1" customWidth="1"/>
    <col min="5895" max="5895" width="7.5" bestFit="1" customWidth="1"/>
    <col min="5896" max="5896" width="16.875" bestFit="1" customWidth="1"/>
    <col min="6140" max="6140" width="2.875" customWidth="1"/>
    <col min="6141" max="6141" width="49" customWidth="1"/>
    <col min="6142" max="6142" width="16.875" bestFit="1" customWidth="1"/>
    <col min="6143" max="6143" width="13.625" bestFit="1" customWidth="1"/>
    <col min="6144" max="6144" width="15.375" bestFit="1" customWidth="1"/>
    <col min="6145" max="6145" width="7.5" bestFit="1" customWidth="1"/>
    <col min="6146" max="6146" width="15.25" customWidth="1"/>
    <col min="6147" max="6147" width="7.5" bestFit="1" customWidth="1"/>
    <col min="6148" max="6148" width="15.375" bestFit="1" customWidth="1"/>
    <col min="6149" max="6149" width="7.5" bestFit="1" customWidth="1"/>
    <col min="6150" max="6150" width="15.375" bestFit="1" customWidth="1"/>
    <col min="6151" max="6151" width="7.5" bestFit="1" customWidth="1"/>
    <col min="6152" max="6152" width="16.875" bestFit="1" customWidth="1"/>
    <col min="6396" max="6396" width="2.875" customWidth="1"/>
    <col min="6397" max="6397" width="49" customWidth="1"/>
    <col min="6398" max="6398" width="16.875" bestFit="1" customWidth="1"/>
    <col min="6399" max="6399" width="13.625" bestFit="1" customWidth="1"/>
    <col min="6400" max="6400" width="15.375" bestFit="1" customWidth="1"/>
    <col min="6401" max="6401" width="7.5" bestFit="1" customWidth="1"/>
    <col min="6402" max="6402" width="15.25" customWidth="1"/>
    <col min="6403" max="6403" width="7.5" bestFit="1" customWidth="1"/>
    <col min="6404" max="6404" width="15.375" bestFit="1" customWidth="1"/>
    <col min="6405" max="6405" width="7.5" bestFit="1" customWidth="1"/>
    <col min="6406" max="6406" width="15.375" bestFit="1" customWidth="1"/>
    <col min="6407" max="6407" width="7.5" bestFit="1" customWidth="1"/>
    <col min="6408" max="6408" width="16.875" bestFit="1" customWidth="1"/>
    <col min="6652" max="6652" width="2.875" customWidth="1"/>
    <col min="6653" max="6653" width="49" customWidth="1"/>
    <col min="6654" max="6654" width="16.875" bestFit="1" customWidth="1"/>
    <col min="6655" max="6655" width="13.625" bestFit="1" customWidth="1"/>
    <col min="6656" max="6656" width="15.375" bestFit="1" customWidth="1"/>
    <col min="6657" max="6657" width="7.5" bestFit="1" customWidth="1"/>
    <col min="6658" max="6658" width="15.25" customWidth="1"/>
    <col min="6659" max="6659" width="7.5" bestFit="1" customWidth="1"/>
    <col min="6660" max="6660" width="15.375" bestFit="1" customWidth="1"/>
    <col min="6661" max="6661" width="7.5" bestFit="1" customWidth="1"/>
    <col min="6662" max="6662" width="15.375" bestFit="1" customWidth="1"/>
    <col min="6663" max="6663" width="7.5" bestFit="1" customWidth="1"/>
    <col min="6664" max="6664" width="16.875" bestFit="1" customWidth="1"/>
    <col min="6908" max="6908" width="2.875" customWidth="1"/>
    <col min="6909" max="6909" width="49" customWidth="1"/>
    <col min="6910" max="6910" width="16.875" bestFit="1" customWidth="1"/>
    <col min="6911" max="6911" width="13.625" bestFit="1" customWidth="1"/>
    <col min="6912" max="6912" width="15.375" bestFit="1" customWidth="1"/>
    <col min="6913" max="6913" width="7.5" bestFit="1" customWidth="1"/>
    <col min="6914" max="6914" width="15.25" customWidth="1"/>
    <col min="6915" max="6915" width="7.5" bestFit="1" customWidth="1"/>
    <col min="6916" max="6916" width="15.375" bestFit="1" customWidth="1"/>
    <col min="6917" max="6917" width="7.5" bestFit="1" customWidth="1"/>
    <col min="6918" max="6918" width="15.375" bestFit="1" customWidth="1"/>
    <col min="6919" max="6919" width="7.5" bestFit="1" customWidth="1"/>
    <col min="6920" max="6920" width="16.875" bestFit="1" customWidth="1"/>
    <col min="7164" max="7164" width="2.875" customWidth="1"/>
    <col min="7165" max="7165" width="49" customWidth="1"/>
    <col min="7166" max="7166" width="16.875" bestFit="1" customWidth="1"/>
    <col min="7167" max="7167" width="13.625" bestFit="1" customWidth="1"/>
    <col min="7168" max="7168" width="15.375" bestFit="1" customWidth="1"/>
    <col min="7169" max="7169" width="7.5" bestFit="1" customWidth="1"/>
    <col min="7170" max="7170" width="15.25" customWidth="1"/>
    <col min="7171" max="7171" width="7.5" bestFit="1" customWidth="1"/>
    <col min="7172" max="7172" width="15.375" bestFit="1" customWidth="1"/>
    <col min="7173" max="7173" width="7.5" bestFit="1" customWidth="1"/>
    <col min="7174" max="7174" width="15.375" bestFit="1" customWidth="1"/>
    <col min="7175" max="7175" width="7.5" bestFit="1" customWidth="1"/>
    <col min="7176" max="7176" width="16.875" bestFit="1" customWidth="1"/>
    <col min="7420" max="7420" width="2.875" customWidth="1"/>
    <col min="7421" max="7421" width="49" customWidth="1"/>
    <col min="7422" max="7422" width="16.875" bestFit="1" customWidth="1"/>
    <col min="7423" max="7423" width="13.625" bestFit="1" customWidth="1"/>
    <col min="7424" max="7424" width="15.375" bestFit="1" customWidth="1"/>
    <col min="7425" max="7425" width="7.5" bestFit="1" customWidth="1"/>
    <col min="7426" max="7426" width="15.25" customWidth="1"/>
    <col min="7427" max="7427" width="7.5" bestFit="1" customWidth="1"/>
    <col min="7428" max="7428" width="15.375" bestFit="1" customWidth="1"/>
    <col min="7429" max="7429" width="7.5" bestFit="1" customWidth="1"/>
    <col min="7430" max="7430" width="15.375" bestFit="1" customWidth="1"/>
    <col min="7431" max="7431" width="7.5" bestFit="1" customWidth="1"/>
    <col min="7432" max="7432" width="16.875" bestFit="1" customWidth="1"/>
    <col min="7676" max="7676" width="2.875" customWidth="1"/>
    <col min="7677" max="7677" width="49" customWidth="1"/>
    <col min="7678" max="7678" width="16.875" bestFit="1" customWidth="1"/>
    <col min="7679" max="7679" width="13.625" bestFit="1" customWidth="1"/>
    <col min="7680" max="7680" width="15.375" bestFit="1" customWidth="1"/>
    <col min="7681" max="7681" width="7.5" bestFit="1" customWidth="1"/>
    <col min="7682" max="7682" width="15.25" customWidth="1"/>
    <col min="7683" max="7683" width="7.5" bestFit="1" customWidth="1"/>
    <col min="7684" max="7684" width="15.375" bestFit="1" customWidth="1"/>
    <col min="7685" max="7685" width="7.5" bestFit="1" customWidth="1"/>
    <col min="7686" max="7686" width="15.375" bestFit="1" customWidth="1"/>
    <col min="7687" max="7687" width="7.5" bestFit="1" customWidth="1"/>
    <col min="7688" max="7688" width="16.875" bestFit="1" customWidth="1"/>
    <col min="7932" max="7932" width="2.875" customWidth="1"/>
    <col min="7933" max="7933" width="49" customWidth="1"/>
    <col min="7934" max="7934" width="16.875" bestFit="1" customWidth="1"/>
    <col min="7935" max="7935" width="13.625" bestFit="1" customWidth="1"/>
    <col min="7936" max="7936" width="15.375" bestFit="1" customWidth="1"/>
    <col min="7937" max="7937" width="7.5" bestFit="1" customWidth="1"/>
    <col min="7938" max="7938" width="15.25" customWidth="1"/>
    <col min="7939" max="7939" width="7.5" bestFit="1" customWidth="1"/>
    <col min="7940" max="7940" width="15.375" bestFit="1" customWidth="1"/>
    <col min="7941" max="7941" width="7.5" bestFit="1" customWidth="1"/>
    <col min="7942" max="7942" width="15.375" bestFit="1" customWidth="1"/>
    <col min="7943" max="7943" width="7.5" bestFit="1" customWidth="1"/>
    <col min="7944" max="7944" width="16.875" bestFit="1" customWidth="1"/>
    <col min="8188" max="8188" width="2.875" customWidth="1"/>
    <col min="8189" max="8189" width="49" customWidth="1"/>
    <col min="8190" max="8190" width="16.875" bestFit="1" customWidth="1"/>
    <col min="8191" max="8191" width="13.625" bestFit="1" customWidth="1"/>
    <col min="8192" max="8192" width="15.375" bestFit="1" customWidth="1"/>
    <col min="8193" max="8193" width="7.5" bestFit="1" customWidth="1"/>
    <col min="8194" max="8194" width="15.25" customWidth="1"/>
    <col min="8195" max="8195" width="7.5" bestFit="1" customWidth="1"/>
    <col min="8196" max="8196" width="15.375" bestFit="1" customWidth="1"/>
    <col min="8197" max="8197" width="7.5" bestFit="1" customWidth="1"/>
    <col min="8198" max="8198" width="15.375" bestFit="1" customWidth="1"/>
    <col min="8199" max="8199" width="7.5" bestFit="1" customWidth="1"/>
    <col min="8200" max="8200" width="16.875" bestFit="1" customWidth="1"/>
    <col min="8444" max="8444" width="2.875" customWidth="1"/>
    <col min="8445" max="8445" width="49" customWidth="1"/>
    <col min="8446" max="8446" width="16.875" bestFit="1" customWidth="1"/>
    <col min="8447" max="8447" width="13.625" bestFit="1" customWidth="1"/>
    <col min="8448" max="8448" width="15.375" bestFit="1" customWidth="1"/>
    <col min="8449" max="8449" width="7.5" bestFit="1" customWidth="1"/>
    <col min="8450" max="8450" width="15.25" customWidth="1"/>
    <col min="8451" max="8451" width="7.5" bestFit="1" customWidth="1"/>
    <col min="8452" max="8452" width="15.375" bestFit="1" customWidth="1"/>
    <col min="8453" max="8453" width="7.5" bestFit="1" customWidth="1"/>
    <col min="8454" max="8454" width="15.375" bestFit="1" customWidth="1"/>
    <col min="8455" max="8455" width="7.5" bestFit="1" customWidth="1"/>
    <col min="8456" max="8456" width="16.875" bestFit="1" customWidth="1"/>
    <col min="8700" max="8700" width="2.875" customWidth="1"/>
    <col min="8701" max="8701" width="49" customWidth="1"/>
    <col min="8702" max="8702" width="16.875" bestFit="1" customWidth="1"/>
    <col min="8703" max="8703" width="13.625" bestFit="1" customWidth="1"/>
    <col min="8704" max="8704" width="15.375" bestFit="1" customWidth="1"/>
    <col min="8705" max="8705" width="7.5" bestFit="1" customWidth="1"/>
    <col min="8706" max="8706" width="15.25" customWidth="1"/>
    <col min="8707" max="8707" width="7.5" bestFit="1" customWidth="1"/>
    <col min="8708" max="8708" width="15.375" bestFit="1" customWidth="1"/>
    <col min="8709" max="8709" width="7.5" bestFit="1" customWidth="1"/>
    <col min="8710" max="8710" width="15.375" bestFit="1" customWidth="1"/>
    <col min="8711" max="8711" width="7.5" bestFit="1" customWidth="1"/>
    <col min="8712" max="8712" width="16.875" bestFit="1" customWidth="1"/>
    <col min="8956" max="8956" width="2.875" customWidth="1"/>
    <col min="8957" max="8957" width="49" customWidth="1"/>
    <col min="8958" max="8958" width="16.875" bestFit="1" customWidth="1"/>
    <col min="8959" max="8959" width="13.625" bestFit="1" customWidth="1"/>
    <col min="8960" max="8960" width="15.375" bestFit="1" customWidth="1"/>
    <col min="8961" max="8961" width="7.5" bestFit="1" customWidth="1"/>
    <col min="8962" max="8962" width="15.25" customWidth="1"/>
    <col min="8963" max="8963" width="7.5" bestFit="1" customWidth="1"/>
    <col min="8964" max="8964" width="15.375" bestFit="1" customWidth="1"/>
    <col min="8965" max="8965" width="7.5" bestFit="1" customWidth="1"/>
    <col min="8966" max="8966" width="15.375" bestFit="1" customWidth="1"/>
    <col min="8967" max="8967" width="7.5" bestFit="1" customWidth="1"/>
    <col min="8968" max="8968" width="16.875" bestFit="1" customWidth="1"/>
    <col min="9212" max="9212" width="2.875" customWidth="1"/>
    <col min="9213" max="9213" width="49" customWidth="1"/>
    <col min="9214" max="9214" width="16.875" bestFit="1" customWidth="1"/>
    <col min="9215" max="9215" width="13.625" bestFit="1" customWidth="1"/>
    <col min="9216" max="9216" width="15.375" bestFit="1" customWidth="1"/>
    <col min="9217" max="9217" width="7.5" bestFit="1" customWidth="1"/>
    <col min="9218" max="9218" width="15.25" customWidth="1"/>
    <col min="9219" max="9219" width="7.5" bestFit="1" customWidth="1"/>
    <col min="9220" max="9220" width="15.375" bestFit="1" customWidth="1"/>
    <col min="9221" max="9221" width="7.5" bestFit="1" customWidth="1"/>
    <col min="9222" max="9222" width="15.375" bestFit="1" customWidth="1"/>
    <col min="9223" max="9223" width="7.5" bestFit="1" customWidth="1"/>
    <col min="9224" max="9224" width="16.875" bestFit="1" customWidth="1"/>
    <col min="9468" max="9468" width="2.875" customWidth="1"/>
    <col min="9469" max="9469" width="49" customWidth="1"/>
    <col min="9470" max="9470" width="16.875" bestFit="1" customWidth="1"/>
    <col min="9471" max="9471" width="13.625" bestFit="1" customWidth="1"/>
    <col min="9472" max="9472" width="15.375" bestFit="1" customWidth="1"/>
    <col min="9473" max="9473" width="7.5" bestFit="1" customWidth="1"/>
    <col min="9474" max="9474" width="15.25" customWidth="1"/>
    <col min="9475" max="9475" width="7.5" bestFit="1" customWidth="1"/>
    <col min="9476" max="9476" width="15.375" bestFit="1" customWidth="1"/>
    <col min="9477" max="9477" width="7.5" bestFit="1" customWidth="1"/>
    <col min="9478" max="9478" width="15.375" bestFit="1" customWidth="1"/>
    <col min="9479" max="9479" width="7.5" bestFit="1" customWidth="1"/>
    <col min="9480" max="9480" width="16.875" bestFit="1" customWidth="1"/>
    <col min="9724" max="9724" width="2.875" customWidth="1"/>
    <col min="9725" max="9725" width="49" customWidth="1"/>
    <col min="9726" max="9726" width="16.875" bestFit="1" customWidth="1"/>
    <col min="9727" max="9727" width="13.625" bestFit="1" customWidth="1"/>
    <col min="9728" max="9728" width="15.375" bestFit="1" customWidth="1"/>
    <col min="9729" max="9729" width="7.5" bestFit="1" customWidth="1"/>
    <col min="9730" max="9730" width="15.25" customWidth="1"/>
    <col min="9731" max="9731" width="7.5" bestFit="1" customWidth="1"/>
    <col min="9732" max="9732" width="15.375" bestFit="1" customWidth="1"/>
    <col min="9733" max="9733" width="7.5" bestFit="1" customWidth="1"/>
    <col min="9734" max="9734" width="15.375" bestFit="1" customWidth="1"/>
    <col min="9735" max="9735" width="7.5" bestFit="1" customWidth="1"/>
    <col min="9736" max="9736" width="16.875" bestFit="1" customWidth="1"/>
    <col min="9980" max="9980" width="2.875" customWidth="1"/>
    <col min="9981" max="9981" width="49" customWidth="1"/>
    <col min="9982" max="9982" width="16.875" bestFit="1" customWidth="1"/>
    <col min="9983" max="9983" width="13.625" bestFit="1" customWidth="1"/>
    <col min="9984" max="9984" width="15.375" bestFit="1" customWidth="1"/>
    <col min="9985" max="9985" width="7.5" bestFit="1" customWidth="1"/>
    <col min="9986" max="9986" width="15.25" customWidth="1"/>
    <col min="9987" max="9987" width="7.5" bestFit="1" customWidth="1"/>
    <col min="9988" max="9988" width="15.375" bestFit="1" customWidth="1"/>
    <col min="9989" max="9989" width="7.5" bestFit="1" customWidth="1"/>
    <col min="9990" max="9990" width="15.375" bestFit="1" customWidth="1"/>
    <col min="9991" max="9991" width="7.5" bestFit="1" customWidth="1"/>
    <col min="9992" max="9992" width="16.875" bestFit="1" customWidth="1"/>
    <col min="10236" max="10236" width="2.875" customWidth="1"/>
    <col min="10237" max="10237" width="49" customWidth="1"/>
    <col min="10238" max="10238" width="16.875" bestFit="1" customWidth="1"/>
    <col min="10239" max="10239" width="13.625" bestFit="1" customWidth="1"/>
    <col min="10240" max="10240" width="15.375" bestFit="1" customWidth="1"/>
    <col min="10241" max="10241" width="7.5" bestFit="1" customWidth="1"/>
    <col min="10242" max="10242" width="15.25" customWidth="1"/>
    <col min="10243" max="10243" width="7.5" bestFit="1" customWidth="1"/>
    <col min="10244" max="10244" width="15.375" bestFit="1" customWidth="1"/>
    <col min="10245" max="10245" width="7.5" bestFit="1" customWidth="1"/>
    <col min="10246" max="10246" width="15.375" bestFit="1" customWidth="1"/>
    <col min="10247" max="10247" width="7.5" bestFit="1" customWidth="1"/>
    <col min="10248" max="10248" width="16.875" bestFit="1" customWidth="1"/>
    <col min="10492" max="10492" width="2.875" customWidth="1"/>
    <col min="10493" max="10493" width="49" customWidth="1"/>
    <col min="10494" max="10494" width="16.875" bestFit="1" customWidth="1"/>
    <col min="10495" max="10495" width="13.625" bestFit="1" customWidth="1"/>
    <col min="10496" max="10496" width="15.375" bestFit="1" customWidth="1"/>
    <col min="10497" max="10497" width="7.5" bestFit="1" customWidth="1"/>
    <col min="10498" max="10498" width="15.25" customWidth="1"/>
    <col min="10499" max="10499" width="7.5" bestFit="1" customWidth="1"/>
    <col min="10500" max="10500" width="15.375" bestFit="1" customWidth="1"/>
    <col min="10501" max="10501" width="7.5" bestFit="1" customWidth="1"/>
    <col min="10502" max="10502" width="15.375" bestFit="1" customWidth="1"/>
    <col min="10503" max="10503" width="7.5" bestFit="1" customWidth="1"/>
    <col min="10504" max="10504" width="16.875" bestFit="1" customWidth="1"/>
    <col min="10748" max="10748" width="2.875" customWidth="1"/>
    <col min="10749" max="10749" width="49" customWidth="1"/>
    <col min="10750" max="10750" width="16.875" bestFit="1" customWidth="1"/>
    <col min="10751" max="10751" width="13.625" bestFit="1" customWidth="1"/>
    <col min="10752" max="10752" width="15.375" bestFit="1" customWidth="1"/>
    <col min="10753" max="10753" width="7.5" bestFit="1" customWidth="1"/>
    <col min="10754" max="10754" width="15.25" customWidth="1"/>
    <col min="10755" max="10755" width="7.5" bestFit="1" customWidth="1"/>
    <col min="10756" max="10756" width="15.375" bestFit="1" customWidth="1"/>
    <col min="10757" max="10757" width="7.5" bestFit="1" customWidth="1"/>
    <col min="10758" max="10758" width="15.375" bestFit="1" customWidth="1"/>
    <col min="10759" max="10759" width="7.5" bestFit="1" customWidth="1"/>
    <col min="10760" max="10760" width="16.875" bestFit="1" customWidth="1"/>
    <col min="11004" max="11004" width="2.875" customWidth="1"/>
    <col min="11005" max="11005" width="49" customWidth="1"/>
    <col min="11006" max="11006" width="16.875" bestFit="1" customWidth="1"/>
    <col min="11007" max="11007" width="13.625" bestFit="1" customWidth="1"/>
    <col min="11008" max="11008" width="15.375" bestFit="1" customWidth="1"/>
    <col min="11009" max="11009" width="7.5" bestFit="1" customWidth="1"/>
    <col min="11010" max="11010" width="15.25" customWidth="1"/>
    <col min="11011" max="11011" width="7.5" bestFit="1" customWidth="1"/>
    <col min="11012" max="11012" width="15.375" bestFit="1" customWidth="1"/>
    <col min="11013" max="11013" width="7.5" bestFit="1" customWidth="1"/>
    <col min="11014" max="11014" width="15.375" bestFit="1" customWidth="1"/>
    <col min="11015" max="11015" width="7.5" bestFit="1" customWidth="1"/>
    <col min="11016" max="11016" width="16.875" bestFit="1" customWidth="1"/>
    <col min="11260" max="11260" width="2.875" customWidth="1"/>
    <col min="11261" max="11261" width="49" customWidth="1"/>
    <col min="11262" max="11262" width="16.875" bestFit="1" customWidth="1"/>
    <col min="11263" max="11263" width="13.625" bestFit="1" customWidth="1"/>
    <col min="11264" max="11264" width="15.375" bestFit="1" customWidth="1"/>
    <col min="11265" max="11265" width="7.5" bestFit="1" customWidth="1"/>
    <col min="11266" max="11266" width="15.25" customWidth="1"/>
    <col min="11267" max="11267" width="7.5" bestFit="1" customWidth="1"/>
    <col min="11268" max="11268" width="15.375" bestFit="1" customWidth="1"/>
    <col min="11269" max="11269" width="7.5" bestFit="1" customWidth="1"/>
    <col min="11270" max="11270" width="15.375" bestFit="1" customWidth="1"/>
    <col min="11271" max="11271" width="7.5" bestFit="1" customWidth="1"/>
    <col min="11272" max="11272" width="16.875" bestFit="1" customWidth="1"/>
    <col min="11516" max="11516" width="2.875" customWidth="1"/>
    <col min="11517" max="11517" width="49" customWidth="1"/>
    <col min="11518" max="11518" width="16.875" bestFit="1" customWidth="1"/>
    <col min="11519" max="11519" width="13.625" bestFit="1" customWidth="1"/>
    <col min="11520" max="11520" width="15.375" bestFit="1" customWidth="1"/>
    <col min="11521" max="11521" width="7.5" bestFit="1" customWidth="1"/>
    <col min="11522" max="11522" width="15.25" customWidth="1"/>
    <col min="11523" max="11523" width="7.5" bestFit="1" customWidth="1"/>
    <col min="11524" max="11524" width="15.375" bestFit="1" customWidth="1"/>
    <col min="11525" max="11525" width="7.5" bestFit="1" customWidth="1"/>
    <col min="11526" max="11526" width="15.375" bestFit="1" customWidth="1"/>
    <col min="11527" max="11527" width="7.5" bestFit="1" customWidth="1"/>
    <col min="11528" max="11528" width="16.875" bestFit="1" customWidth="1"/>
    <col min="11772" max="11772" width="2.875" customWidth="1"/>
    <col min="11773" max="11773" width="49" customWidth="1"/>
    <col min="11774" max="11774" width="16.875" bestFit="1" customWidth="1"/>
    <col min="11775" max="11775" width="13.625" bestFit="1" customWidth="1"/>
    <col min="11776" max="11776" width="15.375" bestFit="1" customWidth="1"/>
    <col min="11777" max="11777" width="7.5" bestFit="1" customWidth="1"/>
    <col min="11778" max="11778" width="15.25" customWidth="1"/>
    <col min="11779" max="11779" width="7.5" bestFit="1" customWidth="1"/>
    <col min="11780" max="11780" width="15.375" bestFit="1" customWidth="1"/>
    <col min="11781" max="11781" width="7.5" bestFit="1" customWidth="1"/>
    <col min="11782" max="11782" width="15.375" bestFit="1" customWidth="1"/>
    <col min="11783" max="11783" width="7.5" bestFit="1" customWidth="1"/>
    <col min="11784" max="11784" width="16.875" bestFit="1" customWidth="1"/>
    <col min="12028" max="12028" width="2.875" customWidth="1"/>
    <col min="12029" max="12029" width="49" customWidth="1"/>
    <col min="12030" max="12030" width="16.875" bestFit="1" customWidth="1"/>
    <col min="12031" max="12031" width="13.625" bestFit="1" customWidth="1"/>
    <col min="12032" max="12032" width="15.375" bestFit="1" customWidth="1"/>
    <col min="12033" max="12033" width="7.5" bestFit="1" customWidth="1"/>
    <col min="12034" max="12034" width="15.25" customWidth="1"/>
    <col min="12035" max="12035" width="7.5" bestFit="1" customWidth="1"/>
    <col min="12036" max="12036" width="15.375" bestFit="1" customWidth="1"/>
    <col min="12037" max="12037" width="7.5" bestFit="1" customWidth="1"/>
    <col min="12038" max="12038" width="15.375" bestFit="1" customWidth="1"/>
    <col min="12039" max="12039" width="7.5" bestFit="1" customWidth="1"/>
    <col min="12040" max="12040" width="16.875" bestFit="1" customWidth="1"/>
    <col min="12284" max="12284" width="2.875" customWidth="1"/>
    <col min="12285" max="12285" width="49" customWidth="1"/>
    <col min="12286" max="12286" width="16.875" bestFit="1" customWidth="1"/>
    <col min="12287" max="12287" width="13.625" bestFit="1" customWidth="1"/>
    <col min="12288" max="12288" width="15.375" bestFit="1" customWidth="1"/>
    <col min="12289" max="12289" width="7.5" bestFit="1" customWidth="1"/>
    <col min="12290" max="12290" width="15.25" customWidth="1"/>
    <col min="12291" max="12291" width="7.5" bestFit="1" customWidth="1"/>
    <col min="12292" max="12292" width="15.375" bestFit="1" customWidth="1"/>
    <col min="12293" max="12293" width="7.5" bestFit="1" customWidth="1"/>
    <col min="12294" max="12294" width="15.375" bestFit="1" customWidth="1"/>
    <col min="12295" max="12295" width="7.5" bestFit="1" customWidth="1"/>
    <col min="12296" max="12296" width="16.875" bestFit="1" customWidth="1"/>
    <col min="12540" max="12540" width="2.875" customWidth="1"/>
    <col min="12541" max="12541" width="49" customWidth="1"/>
    <col min="12542" max="12542" width="16.875" bestFit="1" customWidth="1"/>
    <col min="12543" max="12543" width="13.625" bestFit="1" customWidth="1"/>
    <col min="12544" max="12544" width="15.375" bestFit="1" customWidth="1"/>
    <col min="12545" max="12545" width="7.5" bestFit="1" customWidth="1"/>
    <col min="12546" max="12546" width="15.25" customWidth="1"/>
    <col min="12547" max="12547" width="7.5" bestFit="1" customWidth="1"/>
    <col min="12548" max="12548" width="15.375" bestFit="1" customWidth="1"/>
    <col min="12549" max="12549" width="7.5" bestFit="1" customWidth="1"/>
    <col min="12550" max="12550" width="15.375" bestFit="1" customWidth="1"/>
    <col min="12551" max="12551" width="7.5" bestFit="1" customWidth="1"/>
    <col min="12552" max="12552" width="16.875" bestFit="1" customWidth="1"/>
    <col min="12796" max="12796" width="2.875" customWidth="1"/>
    <col min="12797" max="12797" width="49" customWidth="1"/>
    <col min="12798" max="12798" width="16.875" bestFit="1" customWidth="1"/>
    <col min="12799" max="12799" width="13.625" bestFit="1" customWidth="1"/>
    <col min="12800" max="12800" width="15.375" bestFit="1" customWidth="1"/>
    <col min="12801" max="12801" width="7.5" bestFit="1" customWidth="1"/>
    <col min="12802" max="12802" width="15.25" customWidth="1"/>
    <col min="12803" max="12803" width="7.5" bestFit="1" customWidth="1"/>
    <col min="12804" max="12804" width="15.375" bestFit="1" customWidth="1"/>
    <col min="12805" max="12805" width="7.5" bestFit="1" customWidth="1"/>
    <col min="12806" max="12806" width="15.375" bestFit="1" customWidth="1"/>
    <col min="12807" max="12807" width="7.5" bestFit="1" customWidth="1"/>
    <col min="12808" max="12808" width="16.875" bestFit="1" customWidth="1"/>
    <col min="13052" max="13052" width="2.875" customWidth="1"/>
    <col min="13053" max="13053" width="49" customWidth="1"/>
    <col min="13054" max="13054" width="16.875" bestFit="1" customWidth="1"/>
    <col min="13055" max="13055" width="13.625" bestFit="1" customWidth="1"/>
    <col min="13056" max="13056" width="15.375" bestFit="1" customWidth="1"/>
    <col min="13057" max="13057" width="7.5" bestFit="1" customWidth="1"/>
    <col min="13058" max="13058" width="15.25" customWidth="1"/>
    <col min="13059" max="13059" width="7.5" bestFit="1" customWidth="1"/>
    <col min="13060" max="13060" width="15.375" bestFit="1" customWidth="1"/>
    <col min="13061" max="13061" width="7.5" bestFit="1" customWidth="1"/>
    <col min="13062" max="13062" width="15.375" bestFit="1" customWidth="1"/>
    <col min="13063" max="13063" width="7.5" bestFit="1" customWidth="1"/>
    <col min="13064" max="13064" width="16.875" bestFit="1" customWidth="1"/>
    <col min="13308" max="13308" width="2.875" customWidth="1"/>
    <col min="13309" max="13309" width="49" customWidth="1"/>
    <col min="13310" max="13310" width="16.875" bestFit="1" customWidth="1"/>
    <col min="13311" max="13311" width="13.625" bestFit="1" customWidth="1"/>
    <col min="13312" max="13312" width="15.375" bestFit="1" customWidth="1"/>
    <col min="13313" max="13313" width="7.5" bestFit="1" customWidth="1"/>
    <col min="13314" max="13314" width="15.25" customWidth="1"/>
    <col min="13315" max="13315" width="7.5" bestFit="1" customWidth="1"/>
    <col min="13316" max="13316" width="15.375" bestFit="1" customWidth="1"/>
    <col min="13317" max="13317" width="7.5" bestFit="1" customWidth="1"/>
    <col min="13318" max="13318" width="15.375" bestFit="1" customWidth="1"/>
    <col min="13319" max="13319" width="7.5" bestFit="1" customWidth="1"/>
    <col min="13320" max="13320" width="16.875" bestFit="1" customWidth="1"/>
    <col min="13564" max="13564" width="2.875" customWidth="1"/>
    <col min="13565" max="13565" width="49" customWidth="1"/>
    <col min="13566" max="13566" width="16.875" bestFit="1" customWidth="1"/>
    <col min="13567" max="13567" width="13.625" bestFit="1" customWidth="1"/>
    <col min="13568" max="13568" width="15.375" bestFit="1" customWidth="1"/>
    <col min="13569" max="13569" width="7.5" bestFit="1" customWidth="1"/>
    <col min="13570" max="13570" width="15.25" customWidth="1"/>
    <col min="13571" max="13571" width="7.5" bestFit="1" customWidth="1"/>
    <col min="13572" max="13572" width="15.375" bestFit="1" customWidth="1"/>
    <col min="13573" max="13573" width="7.5" bestFit="1" customWidth="1"/>
    <col min="13574" max="13574" width="15.375" bestFit="1" customWidth="1"/>
    <col min="13575" max="13575" width="7.5" bestFit="1" customWidth="1"/>
    <col min="13576" max="13576" width="16.875" bestFit="1" customWidth="1"/>
    <col min="13820" max="13820" width="2.875" customWidth="1"/>
    <col min="13821" max="13821" width="49" customWidth="1"/>
    <col min="13822" max="13822" width="16.875" bestFit="1" customWidth="1"/>
    <col min="13823" max="13823" width="13.625" bestFit="1" customWidth="1"/>
    <col min="13824" max="13824" width="15.375" bestFit="1" customWidth="1"/>
    <col min="13825" max="13825" width="7.5" bestFit="1" customWidth="1"/>
    <col min="13826" max="13826" width="15.25" customWidth="1"/>
    <col min="13827" max="13827" width="7.5" bestFit="1" customWidth="1"/>
    <col min="13828" max="13828" width="15.375" bestFit="1" customWidth="1"/>
    <col min="13829" max="13829" width="7.5" bestFit="1" customWidth="1"/>
    <col min="13830" max="13830" width="15.375" bestFit="1" customWidth="1"/>
    <col min="13831" max="13831" width="7.5" bestFit="1" customWidth="1"/>
    <col min="13832" max="13832" width="16.875" bestFit="1" customWidth="1"/>
    <col min="14076" max="14076" width="2.875" customWidth="1"/>
    <col min="14077" max="14077" width="49" customWidth="1"/>
    <col min="14078" max="14078" width="16.875" bestFit="1" customWidth="1"/>
    <col min="14079" max="14079" width="13.625" bestFit="1" customWidth="1"/>
    <col min="14080" max="14080" width="15.375" bestFit="1" customWidth="1"/>
    <col min="14081" max="14081" width="7.5" bestFit="1" customWidth="1"/>
    <col min="14082" max="14082" width="15.25" customWidth="1"/>
    <col min="14083" max="14083" width="7.5" bestFit="1" customWidth="1"/>
    <col min="14084" max="14084" width="15.375" bestFit="1" customWidth="1"/>
    <col min="14085" max="14085" width="7.5" bestFit="1" customWidth="1"/>
    <col min="14086" max="14086" width="15.375" bestFit="1" customWidth="1"/>
    <col min="14087" max="14087" width="7.5" bestFit="1" customWidth="1"/>
    <col min="14088" max="14088" width="16.875" bestFit="1" customWidth="1"/>
    <col min="14332" max="14332" width="2.875" customWidth="1"/>
    <col min="14333" max="14333" width="49" customWidth="1"/>
    <col min="14334" max="14334" width="16.875" bestFit="1" customWidth="1"/>
    <col min="14335" max="14335" width="13.625" bestFit="1" customWidth="1"/>
    <col min="14336" max="14336" width="15.375" bestFit="1" customWidth="1"/>
    <col min="14337" max="14337" width="7.5" bestFit="1" customWidth="1"/>
    <col min="14338" max="14338" width="15.25" customWidth="1"/>
    <col min="14339" max="14339" width="7.5" bestFit="1" customWidth="1"/>
    <col min="14340" max="14340" width="15.375" bestFit="1" customWidth="1"/>
    <col min="14341" max="14341" width="7.5" bestFit="1" customWidth="1"/>
    <col min="14342" max="14342" width="15.375" bestFit="1" customWidth="1"/>
    <col min="14343" max="14343" width="7.5" bestFit="1" customWidth="1"/>
    <col min="14344" max="14344" width="16.875" bestFit="1" customWidth="1"/>
    <col min="14588" max="14588" width="2.875" customWidth="1"/>
    <col min="14589" max="14589" width="49" customWidth="1"/>
    <col min="14590" max="14590" width="16.875" bestFit="1" customWidth="1"/>
    <col min="14591" max="14591" width="13.625" bestFit="1" customWidth="1"/>
    <col min="14592" max="14592" width="15.375" bestFit="1" customWidth="1"/>
    <col min="14593" max="14593" width="7.5" bestFit="1" customWidth="1"/>
    <col min="14594" max="14594" width="15.25" customWidth="1"/>
    <col min="14595" max="14595" width="7.5" bestFit="1" customWidth="1"/>
    <col min="14596" max="14596" width="15.375" bestFit="1" customWidth="1"/>
    <col min="14597" max="14597" width="7.5" bestFit="1" customWidth="1"/>
    <col min="14598" max="14598" width="15.375" bestFit="1" customWidth="1"/>
    <col min="14599" max="14599" width="7.5" bestFit="1" customWidth="1"/>
    <col min="14600" max="14600" width="16.875" bestFit="1" customWidth="1"/>
    <col min="14844" max="14844" width="2.875" customWidth="1"/>
    <col min="14845" max="14845" width="49" customWidth="1"/>
    <col min="14846" max="14846" width="16.875" bestFit="1" customWidth="1"/>
    <col min="14847" max="14847" width="13.625" bestFit="1" customWidth="1"/>
    <col min="14848" max="14848" width="15.375" bestFit="1" customWidth="1"/>
    <col min="14849" max="14849" width="7.5" bestFit="1" customWidth="1"/>
    <col min="14850" max="14850" width="15.25" customWidth="1"/>
    <col min="14851" max="14851" width="7.5" bestFit="1" customWidth="1"/>
    <col min="14852" max="14852" width="15.375" bestFit="1" customWidth="1"/>
    <col min="14853" max="14853" width="7.5" bestFit="1" customWidth="1"/>
    <col min="14854" max="14854" width="15.375" bestFit="1" customWidth="1"/>
    <col min="14855" max="14855" width="7.5" bestFit="1" customWidth="1"/>
    <col min="14856" max="14856" width="16.875" bestFit="1" customWidth="1"/>
    <col min="15100" max="15100" width="2.875" customWidth="1"/>
    <col min="15101" max="15101" width="49" customWidth="1"/>
    <col min="15102" max="15102" width="16.875" bestFit="1" customWidth="1"/>
    <col min="15103" max="15103" width="13.625" bestFit="1" customWidth="1"/>
    <col min="15104" max="15104" width="15.375" bestFit="1" customWidth="1"/>
    <col min="15105" max="15105" width="7.5" bestFit="1" customWidth="1"/>
    <col min="15106" max="15106" width="15.25" customWidth="1"/>
    <col min="15107" max="15107" width="7.5" bestFit="1" customWidth="1"/>
    <col min="15108" max="15108" width="15.375" bestFit="1" customWidth="1"/>
    <col min="15109" max="15109" width="7.5" bestFit="1" customWidth="1"/>
    <col min="15110" max="15110" width="15.375" bestFit="1" customWidth="1"/>
    <col min="15111" max="15111" width="7.5" bestFit="1" customWidth="1"/>
    <col min="15112" max="15112" width="16.875" bestFit="1" customWidth="1"/>
    <col min="15356" max="15356" width="2.875" customWidth="1"/>
    <col min="15357" max="15357" width="49" customWidth="1"/>
    <col min="15358" max="15358" width="16.875" bestFit="1" customWidth="1"/>
    <col min="15359" max="15359" width="13.625" bestFit="1" customWidth="1"/>
    <col min="15360" max="15360" width="15.375" bestFit="1" customWidth="1"/>
    <col min="15361" max="15361" width="7.5" bestFit="1" customWidth="1"/>
    <col min="15362" max="15362" width="15.25" customWidth="1"/>
    <col min="15363" max="15363" width="7.5" bestFit="1" customWidth="1"/>
    <col min="15364" max="15364" width="15.375" bestFit="1" customWidth="1"/>
    <col min="15365" max="15365" width="7.5" bestFit="1" customWidth="1"/>
    <col min="15366" max="15366" width="15.375" bestFit="1" customWidth="1"/>
    <col min="15367" max="15367" width="7.5" bestFit="1" customWidth="1"/>
    <col min="15368" max="15368" width="16.875" bestFit="1" customWidth="1"/>
    <col min="15612" max="15612" width="2.875" customWidth="1"/>
    <col min="15613" max="15613" width="49" customWidth="1"/>
    <col min="15614" max="15614" width="16.875" bestFit="1" customWidth="1"/>
    <col min="15615" max="15615" width="13.625" bestFit="1" customWidth="1"/>
    <col min="15616" max="15616" width="15.375" bestFit="1" customWidth="1"/>
    <col min="15617" max="15617" width="7.5" bestFit="1" customWidth="1"/>
    <col min="15618" max="15618" width="15.25" customWidth="1"/>
    <col min="15619" max="15619" width="7.5" bestFit="1" customWidth="1"/>
    <col min="15620" max="15620" width="15.375" bestFit="1" customWidth="1"/>
    <col min="15621" max="15621" width="7.5" bestFit="1" customWidth="1"/>
    <col min="15622" max="15622" width="15.375" bestFit="1" customWidth="1"/>
    <col min="15623" max="15623" width="7.5" bestFit="1" customWidth="1"/>
    <col min="15624" max="15624" width="16.875" bestFit="1" customWidth="1"/>
    <col min="15868" max="15868" width="2.875" customWidth="1"/>
    <col min="15869" max="15869" width="49" customWidth="1"/>
    <col min="15870" max="15870" width="16.875" bestFit="1" customWidth="1"/>
    <col min="15871" max="15871" width="13.625" bestFit="1" customWidth="1"/>
    <col min="15872" max="15872" width="15.375" bestFit="1" customWidth="1"/>
    <col min="15873" max="15873" width="7.5" bestFit="1" customWidth="1"/>
    <col min="15874" max="15874" width="15.25" customWidth="1"/>
    <col min="15875" max="15875" width="7.5" bestFit="1" customWidth="1"/>
    <col min="15876" max="15876" width="15.375" bestFit="1" customWidth="1"/>
    <col min="15877" max="15877" width="7.5" bestFit="1" customWidth="1"/>
    <col min="15878" max="15878" width="15.375" bestFit="1" customWidth="1"/>
    <col min="15879" max="15879" width="7.5" bestFit="1" customWidth="1"/>
    <col min="15880" max="15880" width="16.875" bestFit="1" customWidth="1"/>
    <col min="16124" max="16124" width="2.875" customWidth="1"/>
    <col min="16125" max="16125" width="49" customWidth="1"/>
    <col min="16126" max="16126" width="16.875" bestFit="1" customWidth="1"/>
    <col min="16127" max="16127" width="13.625" bestFit="1" customWidth="1"/>
    <col min="16128" max="16128" width="15.375" bestFit="1" customWidth="1"/>
    <col min="16129" max="16129" width="7.5" bestFit="1" customWidth="1"/>
    <col min="16130" max="16130" width="15.25" customWidth="1"/>
    <col min="16131" max="16131" width="7.5" bestFit="1" customWidth="1"/>
    <col min="16132" max="16132" width="15.375" bestFit="1" customWidth="1"/>
    <col min="16133" max="16133" width="7.5" bestFit="1" customWidth="1"/>
    <col min="16134" max="16134" width="15.375" bestFit="1" customWidth="1"/>
    <col min="16135" max="16135" width="7.5" bestFit="1" customWidth="1"/>
    <col min="16136" max="16136" width="16.875" bestFit="1" customWidth="1"/>
  </cols>
  <sheetData>
    <row r="1" spans="2:8" s="8" customFormat="1" ht="24.95" customHeight="1" x14ac:dyDescent="0.25">
      <c r="B1" s="6" t="s">
        <v>0</v>
      </c>
      <c r="C1" s="6"/>
      <c r="D1" s="7"/>
      <c r="E1" s="7"/>
      <c r="F1" s="18"/>
      <c r="G1" s="18"/>
      <c r="H1" s="418"/>
    </row>
    <row r="2" spans="2:8" s="8" customFormat="1" ht="24.95" customHeight="1" x14ac:dyDescent="0.25">
      <c r="B2" s="9" t="s">
        <v>681</v>
      </c>
      <c r="C2" s="9"/>
      <c r="D2" s="7"/>
      <c r="E2" s="7"/>
      <c r="F2" s="18"/>
      <c r="G2" s="18"/>
      <c r="H2" s="418"/>
    </row>
    <row r="3" spans="2:8" ht="24.95" customHeight="1" x14ac:dyDescent="0.25">
      <c r="F3" s="417"/>
      <c r="G3" s="59"/>
    </row>
    <row r="4" spans="2:8" s="3" customFormat="1" ht="24.95" customHeight="1" x14ac:dyDescent="0.25">
      <c r="B4" s="33"/>
      <c r="C4" s="33"/>
      <c r="D4" s="59" t="s">
        <v>682</v>
      </c>
      <c r="E4" s="59" t="s">
        <v>683</v>
      </c>
      <c r="F4" s="59" t="s">
        <v>610</v>
      </c>
      <c r="G4" s="59" t="s">
        <v>684</v>
      </c>
      <c r="H4" s="420" t="s">
        <v>384</v>
      </c>
    </row>
    <row r="5" spans="2:8" s="3" customFormat="1" ht="5.25" customHeight="1" thickBot="1" x14ac:dyDescent="0.3">
      <c r="B5" s="33"/>
      <c r="C5" s="33"/>
      <c r="D5" s="59"/>
      <c r="E5" s="59"/>
      <c r="F5" s="59"/>
      <c r="G5" s="59"/>
      <c r="H5" s="420"/>
    </row>
    <row r="6" spans="2:8" s="3" customFormat="1" ht="24.95" customHeight="1" x14ac:dyDescent="0.25">
      <c r="B6" s="93" t="s">
        <v>170</v>
      </c>
      <c r="C6" s="727"/>
      <c r="D6" s="728"/>
      <c r="E6" s="729"/>
      <c r="F6" s="729"/>
      <c r="G6" s="729"/>
      <c r="H6" s="730"/>
    </row>
    <row r="7" spans="2:8" s="3" customFormat="1" ht="24.95" customHeight="1" x14ac:dyDescent="0.25">
      <c r="B7" s="255"/>
      <c r="C7" s="666" t="s">
        <v>203</v>
      </c>
      <c r="D7" s="304">
        <v>0</v>
      </c>
      <c r="E7" s="304"/>
      <c r="F7" s="304"/>
      <c r="G7" s="304"/>
      <c r="H7" s="731">
        <f>SUM(D7:G7)</f>
        <v>0</v>
      </c>
    </row>
    <row r="8" spans="2:8" s="3" customFormat="1" ht="24.95" customHeight="1" x14ac:dyDescent="0.25">
      <c r="B8" s="732"/>
      <c r="C8" s="733" t="s">
        <v>204</v>
      </c>
      <c r="D8" s="734"/>
      <c r="E8" s="734"/>
      <c r="F8" s="734"/>
      <c r="G8" s="734"/>
      <c r="H8" s="735">
        <f>SUM(D8:G8)</f>
        <v>0</v>
      </c>
    </row>
    <row r="9" spans="2:8" s="3" customFormat="1" ht="24.95" customHeight="1" thickBot="1" x14ac:dyDescent="0.3">
      <c r="B9" s="852" t="s">
        <v>171</v>
      </c>
      <c r="C9" s="853"/>
      <c r="D9" s="736">
        <f t="shared" ref="D9" si="0">SUM(D6:D8)</f>
        <v>0</v>
      </c>
      <c r="E9" s="736"/>
      <c r="F9" s="736"/>
      <c r="G9" s="736"/>
      <c r="H9" s="737">
        <f t="shared" ref="H9" si="1">SUM(H6:H8)</f>
        <v>0</v>
      </c>
    </row>
    <row r="10" spans="2:8" s="3" customFormat="1" ht="24.95" customHeight="1" thickBot="1" x14ac:dyDescent="0.25"/>
    <row r="11" spans="2:8" s="3" customFormat="1" ht="24.95" customHeight="1" thickBot="1" x14ac:dyDescent="0.3">
      <c r="B11" s="738" t="s">
        <v>685</v>
      </c>
      <c r="C11" s="739"/>
      <c r="D11" s="740"/>
      <c r="E11" s="741">
        <v>1250</v>
      </c>
      <c r="F11" s="740"/>
      <c r="G11" s="740"/>
      <c r="H11" s="742">
        <f>SUM(D11:G11)</f>
        <v>1250</v>
      </c>
    </row>
    <row r="12" spans="2:8" s="3" customFormat="1" ht="24.95" customHeight="1" thickBot="1" x14ac:dyDescent="0.25">
      <c r="H12" s="3">
        <f>SUM(D12:G12)</f>
        <v>0</v>
      </c>
    </row>
    <row r="13" spans="2:8" s="3" customFormat="1" ht="24.95" customHeight="1" thickBot="1" x14ac:dyDescent="0.3">
      <c r="B13" s="743" t="s">
        <v>686</v>
      </c>
      <c r="C13" s="744"/>
      <c r="D13" s="745"/>
      <c r="E13" s="746">
        <v>52000</v>
      </c>
      <c r="F13" s="745"/>
      <c r="G13" s="745"/>
      <c r="H13" s="747">
        <f>SUM(D13:G13)</f>
        <v>52000</v>
      </c>
    </row>
    <row r="14" spans="2:8" s="3" customFormat="1" ht="24.95" customHeight="1" thickBot="1" x14ac:dyDescent="0.25"/>
    <row r="15" spans="2:8" s="3" customFormat="1" ht="24.95" customHeight="1" x14ac:dyDescent="0.25">
      <c r="B15" s="93" t="s">
        <v>261</v>
      </c>
      <c r="C15" s="278"/>
      <c r="D15" s="279"/>
      <c r="E15" s="280"/>
      <c r="F15" s="279"/>
      <c r="G15" s="280"/>
      <c r="H15" s="435"/>
    </row>
    <row r="16" spans="2:8" s="3" customFormat="1" ht="24.95" hidden="1" customHeight="1" x14ac:dyDescent="0.25">
      <c r="B16" s="255"/>
      <c r="C16" s="282" t="s">
        <v>503</v>
      </c>
      <c r="D16" s="304"/>
      <c r="E16" s="343"/>
      <c r="F16" s="304"/>
      <c r="G16" s="343"/>
      <c r="H16" s="436">
        <f>SUM(D16:G16)</f>
        <v>0</v>
      </c>
    </row>
    <row r="17" spans="2:8" s="3" customFormat="1" ht="24.95" hidden="1" customHeight="1" x14ac:dyDescent="0.25">
      <c r="B17" s="255"/>
      <c r="C17" s="282" t="s">
        <v>519</v>
      </c>
      <c r="D17" s="304"/>
      <c r="E17" s="343"/>
      <c r="F17" s="304"/>
      <c r="G17" s="343"/>
      <c r="H17" s="436">
        <f>ROUND(SUM(D17:G17),5)</f>
        <v>0</v>
      </c>
    </row>
    <row r="18" spans="2:8" s="3" customFormat="1" ht="24.95" customHeight="1" x14ac:dyDescent="0.25">
      <c r="B18" s="255"/>
      <c r="C18" s="282" t="s">
        <v>584</v>
      </c>
      <c r="D18" s="304">
        <v>10988.63</v>
      </c>
      <c r="E18" s="304">
        <v>12557.03</v>
      </c>
      <c r="F18" s="304"/>
      <c r="G18" s="343"/>
      <c r="H18" s="436">
        <f>ROUND(SUM(D18:G18),5)</f>
        <v>23545.66</v>
      </c>
    </row>
    <row r="19" spans="2:8" s="3" customFormat="1" ht="24.95" customHeight="1" thickBot="1" x14ac:dyDescent="0.3">
      <c r="B19" s="145"/>
      <c r="C19" s="283" t="s">
        <v>423</v>
      </c>
      <c r="D19" s="602">
        <f>SUM(D15:D18)</f>
        <v>10988.63</v>
      </c>
      <c r="E19" s="602">
        <f>E18</f>
        <v>12557.03</v>
      </c>
      <c r="F19" s="602">
        <f>SUM(F15:F18)</f>
        <v>0</v>
      </c>
      <c r="G19" s="603">
        <f>SUM(G15:G18)</f>
        <v>0</v>
      </c>
      <c r="H19" s="600">
        <f>SUM(H15:H18)</f>
        <v>23545.66</v>
      </c>
    </row>
    <row r="20" spans="2:8" s="3" customFormat="1" ht="24.95" customHeight="1" thickBot="1" x14ac:dyDescent="0.25"/>
    <row r="21" spans="2:8" s="3" customFormat="1" ht="24.95" customHeight="1" thickBot="1" x14ac:dyDescent="0.3">
      <c r="B21" s="738" t="s">
        <v>687</v>
      </c>
      <c r="C21" s="739"/>
      <c r="D21" s="740"/>
      <c r="E21" s="741">
        <v>3250</v>
      </c>
      <c r="F21" s="740"/>
      <c r="G21" s="740"/>
      <c r="H21" s="742">
        <f>SUM(D21:G21)</f>
        <v>3250</v>
      </c>
    </row>
    <row r="22" spans="2:8" s="3" customFormat="1" ht="24.95" customHeight="1" thickBot="1" x14ac:dyDescent="0.3">
      <c r="B22" s="33"/>
      <c r="C22" s="33"/>
      <c r="D22" s="59"/>
      <c r="E22" s="59"/>
      <c r="F22" s="59"/>
      <c r="G22" s="59"/>
      <c r="H22" s="420"/>
    </row>
    <row r="23" spans="2:8" s="3" customFormat="1" ht="24.95" customHeight="1" x14ac:dyDescent="0.25">
      <c r="B23" s="87" t="s">
        <v>613</v>
      </c>
      <c r="C23" s="646"/>
      <c r="D23" s="647">
        <v>4061.4</v>
      </c>
      <c r="E23" s="647"/>
      <c r="F23" s="647"/>
      <c r="G23" s="647"/>
      <c r="H23" s="648">
        <f>SUM(D23:G23)</f>
        <v>4061.4</v>
      </c>
    </row>
    <row r="24" spans="2:8" s="3" customFormat="1" ht="24.95" customHeight="1" thickBot="1" x14ac:dyDescent="0.3">
      <c r="B24" s="748" t="s">
        <v>688</v>
      </c>
      <c r="C24" s="692"/>
      <c r="D24" s="138">
        <v>2911.29</v>
      </c>
      <c r="E24" s="138"/>
      <c r="F24" s="138"/>
      <c r="G24" s="138"/>
      <c r="H24" s="684">
        <f>SUM(D24:G24)</f>
        <v>2911.29</v>
      </c>
    </row>
    <row r="25" spans="2:8" s="3" customFormat="1" ht="24.95" customHeight="1" thickBot="1" x14ac:dyDescent="0.3">
      <c r="B25" s="33"/>
      <c r="C25" s="33"/>
      <c r="D25" s="59"/>
      <c r="E25" s="59"/>
      <c r="F25" s="59"/>
      <c r="G25" s="59"/>
      <c r="H25" s="420"/>
    </row>
    <row r="26" spans="2:8" s="3" customFormat="1" ht="24.95" customHeight="1" thickBot="1" x14ac:dyDescent="0.3">
      <c r="B26" s="699" t="s">
        <v>689</v>
      </c>
      <c r="C26" s="689"/>
      <c r="D26" s="690"/>
      <c r="E26" s="286"/>
      <c r="F26" s="286">
        <v>1250</v>
      </c>
      <c r="G26" s="690"/>
      <c r="H26" s="691">
        <f>SUM(D26:G26)</f>
        <v>1250</v>
      </c>
    </row>
    <row r="27" spans="2:8" s="3" customFormat="1" ht="24.95" customHeight="1" thickBot="1" x14ac:dyDescent="0.3">
      <c r="B27" s="33"/>
      <c r="C27" s="33"/>
      <c r="D27" s="59"/>
      <c r="E27" s="59"/>
      <c r="F27" s="59"/>
      <c r="G27" s="59"/>
      <c r="H27" s="420"/>
    </row>
    <row r="28" spans="2:8" s="3" customFormat="1" ht="24.95" customHeight="1" x14ac:dyDescent="0.25">
      <c r="B28" s="660" t="s">
        <v>147</v>
      </c>
      <c r="C28" s="649"/>
      <c r="D28" s="650"/>
      <c r="E28" s="650"/>
      <c r="F28" s="651"/>
      <c r="G28" s="651"/>
      <c r="H28" s="652"/>
    </row>
    <row r="29" spans="2:8" s="3" customFormat="1" ht="24.95" customHeight="1" x14ac:dyDescent="0.25">
      <c r="B29" s="661"/>
      <c r="C29" s="653" t="s">
        <v>690</v>
      </c>
      <c r="D29" s="654">
        <v>18903.38</v>
      </c>
      <c r="E29" s="654">
        <v>24262.54</v>
      </c>
      <c r="F29" s="655">
        <v>27388.080000000002</v>
      </c>
      <c r="G29" s="655"/>
      <c r="H29" s="656">
        <f>SUM(D29:G29)</f>
        <v>70554</v>
      </c>
    </row>
    <row r="30" spans="2:8" s="3" customFormat="1" ht="24.95" customHeight="1" thickBot="1" x14ac:dyDescent="0.3">
      <c r="B30" s="662"/>
      <c r="C30" s="657" t="s">
        <v>148</v>
      </c>
      <c r="D30" s="658">
        <f>SUM(D29:D29)</f>
        <v>18903.38</v>
      </c>
      <c r="E30" s="658">
        <f>SUM(E29:E29)</f>
        <v>24262.54</v>
      </c>
      <c r="F30" s="658">
        <f>SUM(F29:F29)</f>
        <v>27388.080000000002</v>
      </c>
      <c r="G30" s="658"/>
      <c r="H30" s="659">
        <f>SUM(H28:H29)</f>
        <v>70554</v>
      </c>
    </row>
    <row r="31" spans="2:8" s="3" customFormat="1" ht="24.95" customHeight="1" thickBot="1" x14ac:dyDescent="0.3">
      <c r="B31" s="33"/>
      <c r="C31" s="33"/>
      <c r="D31" s="59"/>
      <c r="E31" s="59"/>
      <c r="F31" s="59"/>
      <c r="G31" s="59"/>
      <c r="H31" s="420"/>
    </row>
    <row r="32" spans="2:8" s="3" customFormat="1" ht="24.95" customHeight="1" x14ac:dyDescent="0.25">
      <c r="B32" s="854" t="s">
        <v>62</v>
      </c>
      <c r="C32" s="855"/>
      <c r="D32" s="663"/>
      <c r="E32" s="663"/>
      <c r="F32" s="664"/>
      <c r="G32" s="664"/>
      <c r="H32" s="665"/>
    </row>
    <row r="33" spans="1:325" s="3" customFormat="1" ht="24.95" customHeight="1" x14ac:dyDescent="0.25">
      <c r="B33" s="255"/>
      <c r="C33" s="666" t="s">
        <v>691</v>
      </c>
      <c r="D33" s="343"/>
      <c r="E33" s="343">
        <v>2952.33</v>
      </c>
      <c r="F33" s="304">
        <f>5785.79+6571.88</f>
        <v>12357.67</v>
      </c>
      <c r="G33" s="304"/>
      <c r="H33" s="667">
        <f>ROUND(SUM(D33:G33),5)</f>
        <v>15310</v>
      </c>
    </row>
    <row r="34" spans="1:325" s="3" customFormat="1" ht="24.95" customHeight="1" x14ac:dyDescent="0.25">
      <c r="B34" s="255"/>
      <c r="C34" s="666" t="s">
        <v>572</v>
      </c>
      <c r="D34" s="343">
        <f>10761.71+12213.95</f>
        <v>22975.66</v>
      </c>
      <c r="E34" s="343">
        <v>15000.95</v>
      </c>
      <c r="F34" s="304">
        <f>12109.76+11963.72</f>
        <v>24073.48</v>
      </c>
      <c r="G34" s="304"/>
      <c r="H34" s="667">
        <f>ROUND(SUM(D34:G34),5)</f>
        <v>62050.09</v>
      </c>
    </row>
    <row r="35" spans="1:325" s="3" customFormat="1" ht="24.95" customHeight="1" thickBot="1" x14ac:dyDescent="0.3">
      <c r="B35" s="668"/>
      <c r="C35" s="283" t="s">
        <v>150</v>
      </c>
      <c r="D35" s="669">
        <f>SUM(D32:D34)</f>
        <v>22975.66</v>
      </c>
      <c r="E35" s="669">
        <f>SUM(E32:E34)</f>
        <v>17953.28</v>
      </c>
      <c r="F35" s="669">
        <f>SUM(F32:F34)</f>
        <v>36431.15</v>
      </c>
      <c r="G35" s="669">
        <f>SUM(G32:G34)</f>
        <v>0</v>
      </c>
      <c r="H35" s="670">
        <f>SUM(D35:G35)</f>
        <v>77360.09</v>
      </c>
    </row>
    <row r="36" spans="1:325" s="3" customFormat="1" ht="24.95" customHeight="1" thickBot="1" x14ac:dyDescent="0.25">
      <c r="B36" s="125"/>
      <c r="C36" s="125"/>
      <c r="D36" s="125"/>
      <c r="E36" s="125"/>
      <c r="F36" s="125"/>
      <c r="G36" s="125"/>
      <c r="H36" s="125"/>
    </row>
    <row r="37" spans="1:325" s="3" customFormat="1" ht="24.95" customHeight="1" x14ac:dyDescent="0.25">
      <c r="B37" s="671" t="s">
        <v>40</v>
      </c>
      <c r="C37" s="672"/>
      <c r="D37" s="673"/>
      <c r="E37" s="673"/>
      <c r="F37" s="674"/>
      <c r="G37" s="674"/>
      <c r="H37" s="675"/>
    </row>
    <row r="38" spans="1:325" s="3" customFormat="1" ht="24.95" customHeight="1" x14ac:dyDescent="0.25">
      <c r="B38" s="676"/>
      <c r="C38" s="677" t="s">
        <v>314</v>
      </c>
      <c r="D38" s="681">
        <v>3000</v>
      </c>
      <c r="E38" s="681"/>
      <c r="F38" s="119"/>
      <c r="G38" s="119"/>
      <c r="H38" s="429">
        <f t="shared" ref="H38:H45" si="2">ROUND(SUM(D38:G38),5)</f>
        <v>3000</v>
      </c>
    </row>
    <row r="39" spans="1:325" s="3" customFormat="1" ht="24.95" customHeight="1" x14ac:dyDescent="0.25">
      <c r="B39" s="676"/>
      <c r="C39" s="677" t="s">
        <v>692</v>
      </c>
      <c r="D39" s="681"/>
      <c r="E39" s="681">
        <v>17500</v>
      </c>
      <c r="F39" s="119"/>
      <c r="G39" s="119"/>
      <c r="H39" s="429">
        <f t="shared" si="2"/>
        <v>17500</v>
      </c>
    </row>
    <row r="40" spans="1:325" s="3" customFormat="1" ht="24.95" customHeight="1" x14ac:dyDescent="0.25">
      <c r="B40" s="676"/>
      <c r="C40" s="677" t="s">
        <v>321</v>
      </c>
      <c r="D40" s="118"/>
      <c r="E40" s="118"/>
      <c r="F40" s="119">
        <v>120</v>
      </c>
      <c r="G40" s="119"/>
      <c r="H40" s="429">
        <f t="shared" si="2"/>
        <v>120</v>
      </c>
    </row>
    <row r="41" spans="1:325" s="3" customFormat="1" ht="24.95" customHeight="1" x14ac:dyDescent="0.25">
      <c r="B41" s="676"/>
      <c r="C41" s="677" t="s">
        <v>504</v>
      </c>
      <c r="D41" s="118"/>
      <c r="E41" s="118"/>
      <c r="F41" s="119"/>
      <c r="G41" s="119"/>
      <c r="H41" s="429">
        <f t="shared" si="2"/>
        <v>0</v>
      </c>
    </row>
    <row r="42" spans="1:325" s="3" customFormat="1" ht="24.95" customHeight="1" x14ac:dyDescent="0.25">
      <c r="B42" s="676"/>
      <c r="C42" s="677" t="s">
        <v>693</v>
      </c>
      <c r="D42" s="678"/>
      <c r="E42" s="118"/>
      <c r="F42" s="679"/>
      <c r="G42" s="119">
        <v>25000</v>
      </c>
      <c r="H42" s="429">
        <f t="shared" si="2"/>
        <v>25000</v>
      </c>
    </row>
    <row r="43" spans="1:325" s="3" customFormat="1" ht="24.95" customHeight="1" x14ac:dyDescent="0.25">
      <c r="B43" s="676"/>
      <c r="C43" s="677" t="s">
        <v>41</v>
      </c>
      <c r="D43" s="678"/>
      <c r="E43" s="118">
        <v>16000</v>
      </c>
      <c r="F43" s="119">
        <v>16500</v>
      </c>
      <c r="G43" s="119">
        <v>15317.21</v>
      </c>
      <c r="H43" s="429">
        <f t="shared" si="2"/>
        <v>47817.21</v>
      </c>
    </row>
    <row r="44" spans="1:325" ht="24.95" customHeight="1" x14ac:dyDescent="0.25">
      <c r="B44" s="680"/>
      <c r="C44" s="677" t="s">
        <v>131</v>
      </c>
      <c r="D44" s="681">
        <v>4291.67</v>
      </c>
      <c r="E44" s="681">
        <v>4291.66</v>
      </c>
      <c r="F44" s="119"/>
      <c r="G44" s="119"/>
      <c r="H44" s="429">
        <f t="shared" si="2"/>
        <v>8583.33</v>
      </c>
    </row>
    <row r="45" spans="1:325" s="148" customFormat="1" ht="24.95" customHeight="1" x14ac:dyDescent="0.25">
      <c r="B45" s="680"/>
      <c r="C45" s="677" t="s">
        <v>694</v>
      </c>
      <c r="D45" s="681"/>
      <c r="E45" s="681">
        <v>1200</v>
      </c>
      <c r="F45" s="119"/>
      <c r="G45" s="119"/>
      <c r="H45" s="429">
        <f t="shared" si="2"/>
        <v>1200</v>
      </c>
    </row>
    <row r="46" spans="1:325" s="126" customFormat="1" ht="24.95" customHeight="1" thickBot="1" x14ac:dyDescent="0.3">
      <c r="A46" s="148"/>
      <c r="B46" s="682"/>
      <c r="C46" s="683" t="s">
        <v>42</v>
      </c>
      <c r="D46" s="137">
        <f>SUM(D37:D45)</f>
        <v>7291.67</v>
      </c>
      <c r="E46" s="137">
        <f>SUM(E37:E45)</f>
        <v>38991.660000000003</v>
      </c>
      <c r="F46" s="137">
        <f>SUM(F37:F45)</f>
        <v>16620</v>
      </c>
      <c r="G46" s="137">
        <f>SUM(G37:G45)</f>
        <v>40317.21</v>
      </c>
      <c r="H46" s="684">
        <f>SUM(H37:H45)</f>
        <v>103220.54</v>
      </c>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5"/>
      <c r="BR46" s="125"/>
      <c r="BS46" s="125"/>
      <c r="BT46" s="125"/>
      <c r="BU46" s="125"/>
      <c r="BV46" s="125"/>
      <c r="BW46" s="125"/>
      <c r="BX46" s="125"/>
      <c r="BY46" s="125"/>
      <c r="BZ46" s="125"/>
      <c r="CA46" s="125"/>
      <c r="CB46" s="125"/>
      <c r="CC46" s="125"/>
      <c r="CD46" s="125"/>
      <c r="CE46" s="125"/>
      <c r="CF46" s="125"/>
      <c r="CG46" s="125"/>
      <c r="CH46" s="125"/>
      <c r="CI46" s="125"/>
      <c r="CJ46" s="125"/>
      <c r="CK46" s="125"/>
      <c r="CL46" s="125"/>
      <c r="CM46" s="125"/>
      <c r="CN46" s="125"/>
      <c r="CO46" s="125"/>
      <c r="CP46" s="125"/>
      <c r="CQ46" s="125"/>
      <c r="CR46" s="125"/>
      <c r="CS46" s="125"/>
      <c r="CT46" s="125"/>
      <c r="CU46" s="125"/>
      <c r="CV46" s="125"/>
      <c r="CW46" s="125"/>
      <c r="CX46" s="125"/>
      <c r="CY46" s="125"/>
      <c r="CZ46" s="125"/>
      <c r="DA46" s="125"/>
      <c r="DB46" s="125"/>
      <c r="DC46" s="125"/>
      <c r="DD46" s="125"/>
      <c r="DE46" s="125"/>
      <c r="DF46" s="125"/>
      <c r="DG46" s="125"/>
      <c r="DH46" s="125"/>
      <c r="DI46" s="125"/>
      <c r="DJ46" s="125"/>
      <c r="DK46" s="125"/>
      <c r="DL46" s="125"/>
      <c r="DM46" s="125"/>
      <c r="DN46" s="125"/>
      <c r="DO46" s="125"/>
      <c r="DP46" s="125"/>
      <c r="DQ46" s="125"/>
      <c r="DR46" s="125"/>
      <c r="DS46" s="125"/>
      <c r="DT46" s="125"/>
      <c r="DU46" s="125"/>
      <c r="DV46" s="125"/>
      <c r="DW46" s="125"/>
      <c r="DX46" s="125"/>
      <c r="DY46" s="125"/>
      <c r="DZ46" s="125"/>
      <c r="EA46" s="125"/>
      <c r="EB46" s="125"/>
      <c r="EC46" s="125"/>
      <c r="ED46" s="125"/>
      <c r="EE46" s="125"/>
      <c r="EF46" s="125"/>
      <c r="EG46" s="125"/>
      <c r="EH46" s="125"/>
      <c r="EI46" s="125"/>
      <c r="EJ46" s="125"/>
      <c r="EK46" s="125"/>
      <c r="EL46" s="125"/>
      <c r="EM46" s="125"/>
      <c r="EN46" s="125"/>
      <c r="EO46" s="125"/>
      <c r="EP46" s="125"/>
      <c r="EQ46" s="125"/>
      <c r="ER46" s="125"/>
      <c r="ES46" s="125"/>
      <c r="ET46" s="125"/>
      <c r="EU46" s="125"/>
      <c r="EV46" s="125"/>
      <c r="EW46" s="125"/>
      <c r="EX46" s="125"/>
      <c r="EY46" s="125"/>
      <c r="EZ46" s="125"/>
      <c r="FA46" s="125"/>
      <c r="FB46" s="125"/>
      <c r="FC46" s="125"/>
      <c r="FD46" s="125"/>
      <c r="FE46" s="125"/>
      <c r="FF46" s="125"/>
      <c r="FG46" s="125"/>
      <c r="FH46" s="125"/>
      <c r="FI46" s="125"/>
      <c r="FJ46" s="125"/>
      <c r="FK46" s="125"/>
      <c r="FL46" s="125"/>
      <c r="FM46" s="125"/>
      <c r="FN46" s="125"/>
      <c r="FO46" s="125"/>
      <c r="FP46" s="125"/>
      <c r="FQ46" s="125"/>
      <c r="FR46" s="125"/>
      <c r="FS46" s="125"/>
      <c r="FT46" s="125"/>
      <c r="FU46" s="125"/>
      <c r="FV46" s="125"/>
      <c r="FW46" s="125"/>
      <c r="FX46" s="125"/>
      <c r="FY46" s="125"/>
      <c r="FZ46" s="125"/>
      <c r="GA46" s="125"/>
      <c r="GB46" s="125"/>
      <c r="GC46" s="125"/>
      <c r="GD46" s="125"/>
      <c r="GE46" s="125"/>
      <c r="GF46" s="125"/>
      <c r="GG46" s="125"/>
      <c r="GH46" s="125"/>
      <c r="GI46" s="125"/>
      <c r="GJ46" s="125"/>
      <c r="GK46" s="125"/>
      <c r="GL46" s="125"/>
      <c r="GM46" s="125"/>
      <c r="GN46" s="125"/>
      <c r="GO46" s="125"/>
      <c r="GP46" s="125"/>
      <c r="GQ46" s="125"/>
      <c r="GR46" s="125"/>
      <c r="GS46" s="125"/>
      <c r="GT46" s="125"/>
      <c r="GU46" s="125"/>
      <c r="GV46" s="125"/>
      <c r="GW46" s="125"/>
      <c r="GX46" s="125"/>
      <c r="GY46" s="125"/>
      <c r="GZ46" s="125"/>
      <c r="HA46" s="125"/>
      <c r="HB46" s="125"/>
      <c r="HC46" s="125"/>
      <c r="HD46" s="125"/>
      <c r="HE46" s="125"/>
      <c r="HF46" s="125"/>
      <c r="HG46" s="125"/>
      <c r="HH46" s="125"/>
      <c r="HI46" s="125"/>
      <c r="HJ46" s="125"/>
      <c r="HK46" s="125"/>
      <c r="HL46" s="125"/>
      <c r="HM46" s="125"/>
      <c r="HN46" s="125"/>
      <c r="HO46" s="125"/>
      <c r="HP46" s="125"/>
      <c r="HQ46" s="125"/>
      <c r="HR46" s="125"/>
      <c r="HS46" s="125"/>
      <c r="HT46" s="125"/>
      <c r="HU46" s="125"/>
      <c r="HV46" s="125"/>
      <c r="HW46" s="125"/>
      <c r="HX46" s="125"/>
      <c r="HY46" s="125"/>
      <c r="HZ46" s="125"/>
      <c r="IA46" s="125"/>
      <c r="IB46" s="125"/>
      <c r="IC46" s="125"/>
      <c r="ID46" s="125"/>
      <c r="IE46" s="125"/>
      <c r="IF46" s="125"/>
      <c r="IG46" s="125"/>
      <c r="IH46" s="125"/>
      <c r="II46" s="125"/>
      <c r="IJ46" s="125"/>
      <c r="IK46" s="125"/>
      <c r="IL46" s="125"/>
      <c r="IM46" s="125"/>
      <c r="IN46" s="125"/>
      <c r="IO46" s="125"/>
      <c r="IP46" s="125"/>
      <c r="IQ46" s="125"/>
      <c r="IR46" s="125"/>
      <c r="IS46" s="125"/>
      <c r="IT46" s="125"/>
      <c r="IU46" s="125"/>
      <c r="IV46" s="125"/>
      <c r="IW46" s="125"/>
      <c r="IX46" s="125"/>
      <c r="IY46" s="125"/>
      <c r="IZ46" s="125"/>
      <c r="JA46" s="125"/>
      <c r="JB46" s="125"/>
      <c r="JC46" s="125"/>
      <c r="JD46" s="125"/>
      <c r="JE46" s="125"/>
      <c r="JF46" s="125"/>
      <c r="JG46" s="125"/>
      <c r="JH46" s="125"/>
      <c r="JI46" s="125"/>
      <c r="JJ46" s="125"/>
      <c r="JK46" s="125"/>
      <c r="JL46" s="125"/>
      <c r="JM46" s="125"/>
      <c r="JN46" s="125"/>
      <c r="JO46" s="125"/>
      <c r="JP46" s="125"/>
      <c r="JQ46" s="125"/>
      <c r="JR46" s="125"/>
      <c r="JS46" s="125"/>
      <c r="JT46" s="125"/>
      <c r="JU46" s="125"/>
      <c r="JV46" s="125"/>
      <c r="JW46" s="125"/>
      <c r="JX46" s="125"/>
      <c r="JY46" s="125"/>
      <c r="JZ46" s="125"/>
      <c r="KA46" s="125"/>
      <c r="KB46" s="125"/>
      <c r="KC46" s="125"/>
      <c r="KD46" s="125"/>
      <c r="KE46" s="125"/>
      <c r="KF46" s="125"/>
      <c r="KG46" s="125"/>
      <c r="KH46" s="125"/>
      <c r="KI46" s="125"/>
      <c r="KJ46" s="125"/>
      <c r="KK46" s="125"/>
      <c r="KL46" s="125"/>
      <c r="KM46" s="125"/>
      <c r="KN46" s="125"/>
      <c r="KO46" s="125"/>
      <c r="KP46" s="125"/>
      <c r="KQ46" s="125"/>
      <c r="KR46" s="125"/>
      <c r="KS46" s="125"/>
      <c r="KT46" s="125"/>
      <c r="KU46" s="125"/>
      <c r="KV46" s="125"/>
      <c r="KW46" s="125"/>
      <c r="KX46" s="125"/>
      <c r="KY46" s="125"/>
      <c r="KZ46" s="125"/>
      <c r="LA46" s="125"/>
      <c r="LB46" s="125"/>
      <c r="LC46" s="125"/>
      <c r="LD46" s="125"/>
      <c r="LE46" s="125"/>
      <c r="LF46" s="125"/>
      <c r="LG46" s="125"/>
      <c r="LH46" s="125"/>
      <c r="LI46" s="125"/>
      <c r="LJ46" s="125"/>
      <c r="LK46" s="125"/>
      <c r="LL46" s="125"/>
      <c r="LM46" s="125"/>
    </row>
    <row r="47" spans="1:325" s="126" customFormat="1" ht="24.95" customHeight="1" thickBot="1" x14ac:dyDescent="0.25">
      <c r="A47" s="148"/>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5"/>
      <c r="BR47" s="125"/>
      <c r="BS47" s="125"/>
      <c r="BT47" s="125"/>
      <c r="BU47" s="125"/>
      <c r="BV47" s="125"/>
      <c r="BW47" s="125"/>
      <c r="BX47" s="125"/>
      <c r="BY47" s="125"/>
      <c r="BZ47" s="125"/>
      <c r="CA47" s="125"/>
      <c r="CB47" s="125"/>
      <c r="CC47" s="125"/>
      <c r="CD47" s="125"/>
      <c r="CE47" s="125"/>
      <c r="CF47" s="125"/>
      <c r="CG47" s="125"/>
      <c r="CH47" s="125"/>
      <c r="CI47" s="125"/>
      <c r="CJ47" s="125"/>
      <c r="CK47" s="125"/>
      <c r="CL47" s="125"/>
      <c r="CM47" s="125"/>
      <c r="CN47" s="125"/>
      <c r="CO47" s="125"/>
      <c r="CP47" s="125"/>
      <c r="CQ47" s="125"/>
      <c r="CR47" s="125"/>
      <c r="CS47" s="125"/>
      <c r="CT47" s="125"/>
      <c r="CU47" s="125"/>
      <c r="CV47" s="125"/>
      <c r="CW47" s="125"/>
      <c r="CX47" s="125"/>
      <c r="CY47" s="125"/>
      <c r="CZ47" s="125"/>
      <c r="DA47" s="125"/>
      <c r="DB47" s="125"/>
      <c r="DC47" s="125"/>
      <c r="DD47" s="125"/>
      <c r="DE47" s="125"/>
      <c r="DF47" s="125"/>
      <c r="DG47" s="125"/>
      <c r="DH47" s="125"/>
      <c r="DI47" s="125"/>
      <c r="DJ47" s="125"/>
      <c r="DK47" s="125"/>
      <c r="DL47" s="125"/>
      <c r="DM47" s="125"/>
      <c r="DN47" s="125"/>
      <c r="DO47" s="125"/>
      <c r="DP47" s="125"/>
      <c r="DQ47" s="125"/>
      <c r="DR47" s="125"/>
      <c r="DS47" s="125"/>
      <c r="DT47" s="125"/>
      <c r="DU47" s="125"/>
      <c r="DV47" s="125"/>
      <c r="DW47" s="125"/>
      <c r="DX47" s="125"/>
      <c r="DY47" s="125"/>
      <c r="DZ47" s="125"/>
      <c r="EA47" s="125"/>
      <c r="EB47" s="125"/>
      <c r="EC47" s="125"/>
      <c r="ED47" s="125"/>
      <c r="EE47" s="125"/>
      <c r="EF47" s="125"/>
      <c r="EG47" s="125"/>
      <c r="EH47" s="125"/>
      <c r="EI47" s="125"/>
      <c r="EJ47" s="125"/>
      <c r="EK47" s="125"/>
      <c r="EL47" s="125"/>
      <c r="EM47" s="125"/>
      <c r="EN47" s="125"/>
      <c r="EO47" s="125"/>
      <c r="EP47" s="125"/>
      <c r="EQ47" s="125"/>
      <c r="ER47" s="125"/>
      <c r="ES47" s="125"/>
      <c r="ET47" s="125"/>
      <c r="EU47" s="125"/>
      <c r="EV47" s="125"/>
      <c r="EW47" s="125"/>
      <c r="EX47" s="125"/>
      <c r="EY47" s="125"/>
      <c r="EZ47" s="125"/>
      <c r="FA47" s="125"/>
      <c r="FB47" s="125"/>
      <c r="FC47" s="125"/>
      <c r="FD47" s="125"/>
      <c r="FE47" s="125"/>
      <c r="FF47" s="125"/>
      <c r="FG47" s="125"/>
      <c r="FH47" s="125"/>
      <c r="FI47" s="125"/>
      <c r="FJ47" s="125"/>
      <c r="FK47" s="125"/>
      <c r="FL47" s="125"/>
      <c r="FM47" s="125"/>
      <c r="FN47" s="125"/>
      <c r="FO47" s="125"/>
      <c r="FP47" s="125"/>
      <c r="FQ47" s="125"/>
      <c r="FR47" s="125"/>
      <c r="FS47" s="125"/>
      <c r="FT47" s="125"/>
      <c r="FU47" s="125"/>
      <c r="FV47" s="125"/>
      <c r="FW47" s="125"/>
      <c r="FX47" s="125"/>
      <c r="FY47" s="125"/>
      <c r="FZ47" s="125"/>
      <c r="GA47" s="125"/>
      <c r="GB47" s="125"/>
      <c r="GC47" s="125"/>
      <c r="GD47" s="125"/>
      <c r="GE47" s="125"/>
      <c r="GF47" s="125"/>
      <c r="GG47" s="125"/>
      <c r="GH47" s="125"/>
      <c r="GI47" s="125"/>
      <c r="GJ47" s="125"/>
      <c r="GK47" s="125"/>
      <c r="GL47" s="125"/>
      <c r="GM47" s="125"/>
      <c r="GN47" s="125"/>
      <c r="GO47" s="125"/>
      <c r="GP47" s="125"/>
      <c r="GQ47" s="125"/>
      <c r="GR47" s="125"/>
      <c r="GS47" s="125"/>
      <c r="GT47" s="125"/>
      <c r="GU47" s="125"/>
      <c r="GV47" s="125"/>
      <c r="GW47" s="125"/>
      <c r="GX47" s="125"/>
      <c r="GY47" s="125"/>
      <c r="GZ47" s="125"/>
      <c r="HA47" s="125"/>
      <c r="HB47" s="125"/>
      <c r="HC47" s="125"/>
      <c r="HD47" s="125"/>
      <c r="HE47" s="125"/>
      <c r="HF47" s="125"/>
      <c r="HG47" s="125"/>
      <c r="HH47" s="125"/>
      <c r="HI47" s="125"/>
      <c r="HJ47" s="125"/>
      <c r="HK47" s="125"/>
      <c r="HL47" s="125"/>
      <c r="HM47" s="125"/>
      <c r="HN47" s="125"/>
      <c r="HO47" s="125"/>
      <c r="HP47" s="125"/>
      <c r="HQ47" s="125"/>
      <c r="HR47" s="125"/>
      <c r="HS47" s="125"/>
      <c r="HT47" s="125"/>
      <c r="HU47" s="125"/>
      <c r="HV47" s="125"/>
      <c r="HW47" s="125"/>
      <c r="HX47" s="125"/>
      <c r="HY47" s="125"/>
      <c r="HZ47" s="125"/>
      <c r="IA47" s="125"/>
      <c r="IB47" s="125"/>
      <c r="IC47" s="125"/>
      <c r="ID47" s="125"/>
      <c r="IE47" s="125"/>
      <c r="IF47" s="125"/>
      <c r="IG47" s="125"/>
      <c r="IH47" s="125"/>
      <c r="II47" s="125"/>
      <c r="IJ47" s="125"/>
      <c r="IK47" s="125"/>
      <c r="IL47" s="125"/>
      <c r="IM47" s="125"/>
      <c r="IN47" s="125"/>
      <c r="IO47" s="125"/>
      <c r="IP47" s="125"/>
      <c r="IQ47" s="125"/>
      <c r="IR47" s="125"/>
      <c r="IS47" s="125"/>
      <c r="IT47" s="125"/>
      <c r="IU47" s="125"/>
      <c r="IV47" s="125"/>
      <c r="IW47" s="125"/>
      <c r="IX47" s="125"/>
      <c r="IY47" s="125"/>
      <c r="IZ47" s="125"/>
      <c r="JA47" s="125"/>
      <c r="JB47" s="125"/>
      <c r="JC47" s="125"/>
      <c r="JD47" s="125"/>
      <c r="JE47" s="125"/>
      <c r="JF47" s="125"/>
      <c r="JG47" s="125"/>
      <c r="JH47" s="125"/>
      <c r="JI47" s="125"/>
      <c r="JJ47" s="125"/>
      <c r="JK47" s="125"/>
      <c r="JL47" s="125"/>
      <c r="JM47" s="125"/>
      <c r="JN47" s="125"/>
      <c r="JO47" s="125"/>
      <c r="JP47" s="125"/>
      <c r="JQ47" s="125"/>
      <c r="JR47" s="125"/>
      <c r="JS47" s="125"/>
      <c r="JT47" s="125"/>
      <c r="JU47" s="125"/>
      <c r="JV47" s="125"/>
      <c r="JW47" s="125"/>
      <c r="JX47" s="125"/>
      <c r="JY47" s="125"/>
      <c r="JZ47" s="125"/>
      <c r="KA47" s="125"/>
      <c r="KB47" s="125"/>
      <c r="KC47" s="125"/>
      <c r="KD47" s="125"/>
      <c r="KE47" s="125"/>
      <c r="KF47" s="125"/>
      <c r="KG47" s="125"/>
      <c r="KH47" s="125"/>
      <c r="KI47" s="125"/>
      <c r="KJ47" s="125"/>
      <c r="KK47" s="125"/>
      <c r="KL47" s="125"/>
      <c r="KM47" s="125"/>
      <c r="KN47" s="125"/>
      <c r="KO47" s="125"/>
      <c r="KP47" s="125"/>
      <c r="KQ47" s="125"/>
      <c r="KR47" s="125"/>
      <c r="KS47" s="125"/>
      <c r="KT47" s="125"/>
      <c r="KU47" s="125"/>
      <c r="KV47" s="125"/>
      <c r="KW47" s="125"/>
      <c r="KX47" s="125"/>
      <c r="KY47" s="125"/>
      <c r="KZ47" s="125"/>
      <c r="LA47" s="125"/>
      <c r="LB47" s="125"/>
      <c r="LC47" s="125"/>
      <c r="LD47" s="125"/>
      <c r="LE47" s="125"/>
      <c r="LF47" s="125"/>
      <c r="LG47" s="125"/>
      <c r="LH47" s="125"/>
      <c r="LI47" s="125"/>
      <c r="LJ47" s="125"/>
      <c r="LK47" s="125"/>
      <c r="LL47" s="125"/>
      <c r="LM47" s="125"/>
    </row>
    <row r="48" spans="1:325" s="75" customFormat="1" ht="24.95" hidden="1" customHeight="1" x14ac:dyDescent="0.25">
      <c r="A48" s="148"/>
      <c r="B48" s="856" t="s">
        <v>325</v>
      </c>
      <c r="C48" s="857"/>
      <c r="D48" s="621"/>
      <c r="E48" s="621"/>
      <c r="F48" s="621"/>
      <c r="G48" s="622"/>
      <c r="H48" s="624">
        <f>SUM(D48:G48)</f>
        <v>0</v>
      </c>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row>
    <row r="49" spans="1:325" ht="24.95" hidden="1" customHeight="1" x14ac:dyDescent="0.25">
      <c r="A49" s="148"/>
      <c r="B49" s="607" t="s">
        <v>573</v>
      </c>
      <c r="C49" s="608"/>
      <c r="D49" s="609"/>
      <c r="E49" s="610"/>
      <c r="F49" s="610"/>
      <c r="G49" s="618"/>
      <c r="H49" s="611">
        <f>SUM(D49:G49)</f>
        <v>0</v>
      </c>
    </row>
    <row r="50" spans="1:325" s="75" customFormat="1" ht="24.95" customHeight="1" thickBot="1" x14ac:dyDescent="0.3">
      <c r="A50" s="148"/>
      <c r="B50" s="699" t="s">
        <v>695</v>
      </c>
      <c r="C50" s="689"/>
      <c r="D50" s="690"/>
      <c r="E50" s="286"/>
      <c r="F50" s="286"/>
      <c r="G50" s="690"/>
      <c r="H50" s="691">
        <f>SUM(D50:G50)</f>
        <v>0</v>
      </c>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row>
    <row r="51" spans="1:325" s="75" customFormat="1" ht="24.95" customHeight="1" thickBot="1" x14ac:dyDescent="0.3">
      <c r="A51" s="148"/>
      <c r="B51" s="74"/>
      <c r="C51" s="74"/>
      <c r="D51" s="110"/>
      <c r="E51" s="110"/>
      <c r="F51" s="110"/>
      <c r="G51" s="110"/>
      <c r="H51" s="434"/>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row>
    <row r="52" spans="1:325" s="75" customFormat="1" ht="24.95" customHeight="1" thickBot="1" x14ac:dyDescent="0.3">
      <c r="A52" s="148"/>
      <c r="B52" s="685"/>
      <c r="C52" s="686" t="s">
        <v>696</v>
      </c>
      <c r="D52" s="687">
        <f>D11+D21+D35+D30+D46+D9+D19+D24+D50+D49+D13+D48+D26+D23</f>
        <v>67132.03</v>
      </c>
      <c r="E52" s="687">
        <f>E11+E21+E35+E30+E46+E9+E19+E24+E50+E49+E13+E48+E26+E23</f>
        <v>150264.51</v>
      </c>
      <c r="F52" s="687">
        <f>F11+F21+F35+F30+F46+F9+F19+F24+F50+F49+F13+F48+F26+F23</f>
        <v>81689.23000000001</v>
      </c>
      <c r="G52" s="687">
        <f>G11+G21+G35+G30+G46+G9+G19+G24+G50+G49+G13+G48+G26+G23</f>
        <v>40317.21</v>
      </c>
      <c r="H52" s="687">
        <f>H11+H21+H35+H30+H46+H9+H19+H24+H50+H49+H13+H48+H26+H23</f>
        <v>339402.98</v>
      </c>
      <c r="I52"/>
      <c r="J52"/>
      <c r="K52" s="788"/>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row>
    <row r="53" spans="1:325" s="75" customFormat="1" ht="24.95" customHeight="1" x14ac:dyDescent="0.25">
      <c r="A53" s="148"/>
      <c r="B53" s="454"/>
      <c r="C53" s="455"/>
      <c r="D53" s="456"/>
      <c r="E53" s="456"/>
      <c r="F53" s="456"/>
      <c r="G53" s="456"/>
      <c r="H53" s="457"/>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row>
    <row r="54" spans="1:325" ht="24.95" customHeight="1" x14ac:dyDescent="0.25">
      <c r="A54" s="148"/>
      <c r="B54" s="76"/>
      <c r="C54" s="452" t="s">
        <v>343</v>
      </c>
      <c r="D54" s="453">
        <f>D52/H$52</f>
        <v>0.19779446250000515</v>
      </c>
      <c r="E54" s="453">
        <f>E52/$H52</f>
        <v>0.44273185226599959</v>
      </c>
      <c r="F54" s="453">
        <f t="shared" ref="F54:H54" si="3">F52/$H52</f>
        <v>0.24068507000144787</v>
      </c>
      <c r="G54" s="453">
        <f t="shared" si="3"/>
        <v>0.11878861523254747</v>
      </c>
      <c r="H54" s="453">
        <f t="shared" si="3"/>
        <v>1</v>
      </c>
    </row>
    <row r="55" spans="1:325" ht="24.95" customHeight="1" x14ac:dyDescent="0.25">
      <c r="A55" s="148"/>
      <c r="B55" s="76"/>
      <c r="C55" s="76"/>
      <c r="D55" s="124"/>
      <c r="E55" s="124"/>
      <c r="F55" s="124"/>
      <c r="G55" s="124"/>
    </row>
    <row r="56" spans="1:325" ht="24.95" customHeight="1" x14ac:dyDescent="0.25">
      <c r="A56" s="148"/>
      <c r="C56" s="215" t="s">
        <v>697</v>
      </c>
      <c r="D56" s="124"/>
      <c r="E56" s="124"/>
      <c r="F56" s="124"/>
      <c r="G56" s="124"/>
    </row>
    <row r="57" spans="1:325" s="125" customFormat="1" ht="20.100000000000001" customHeight="1" x14ac:dyDescent="0.25">
      <c r="A57" s="148"/>
      <c r="B57" s="34"/>
      <c r="C57" s="366" t="s">
        <v>698</v>
      </c>
      <c r="D57" s="368">
        <v>26000</v>
      </c>
      <c r="E57" s="124"/>
      <c r="F57" s="124"/>
      <c r="G57" s="124"/>
      <c r="H57" s="419"/>
    </row>
    <row r="58" spans="1:325" s="125" customFormat="1" ht="20.100000000000001" customHeight="1" x14ac:dyDescent="0.25">
      <c r="A58" s="148"/>
      <c r="B58" s="34"/>
      <c r="C58" s="366" t="s">
        <v>699</v>
      </c>
      <c r="D58" s="368"/>
      <c r="E58" s="124"/>
      <c r="F58" s="124"/>
      <c r="G58" s="124"/>
      <c r="H58" s="419"/>
    </row>
    <row r="59" spans="1:325" ht="20.100000000000001" customHeight="1" x14ac:dyDescent="0.25">
      <c r="A59" s="148"/>
      <c r="C59" s="366" t="s">
        <v>643</v>
      </c>
      <c r="D59" s="368">
        <v>2212.9</v>
      </c>
      <c r="E59" s="124"/>
      <c r="F59" s="124"/>
      <c r="G59" s="124"/>
    </row>
    <row r="60" spans="1:325" ht="20.100000000000001" customHeight="1" x14ac:dyDescent="0.25">
      <c r="A60" s="148"/>
      <c r="C60" s="366" t="s">
        <v>700</v>
      </c>
      <c r="D60" s="368">
        <v>1668.99</v>
      </c>
      <c r="E60" s="124"/>
      <c r="F60" s="124"/>
      <c r="G60" s="124"/>
    </row>
    <row r="61" spans="1:325" ht="20.100000000000001" customHeight="1" x14ac:dyDescent="0.25">
      <c r="A61" s="148"/>
      <c r="C61" s="366" t="s">
        <v>701</v>
      </c>
      <c r="D61" s="368">
        <v>39074.43</v>
      </c>
      <c r="E61" s="124"/>
      <c r="F61" s="124"/>
      <c r="G61" s="124"/>
    </row>
    <row r="62" spans="1:325" ht="20.100000000000001" customHeight="1" x14ac:dyDescent="0.25">
      <c r="A62" s="148"/>
      <c r="C62" s="104" t="s">
        <v>648</v>
      </c>
      <c r="D62" s="247">
        <f>SUM(D57:D61)</f>
        <v>68956.320000000007</v>
      </c>
      <c r="E62" s="124"/>
      <c r="F62" s="124"/>
      <c r="G62" s="124"/>
    </row>
    <row r="63" spans="1:325" ht="20.100000000000001" customHeight="1" x14ac:dyDescent="0.25">
      <c r="A63" s="148"/>
      <c r="D63" s="124"/>
      <c r="E63" s="124"/>
      <c r="F63" s="124"/>
      <c r="G63" s="124"/>
    </row>
    <row r="64" spans="1:325" ht="20.100000000000001" customHeight="1" thickBot="1" x14ac:dyDescent="0.3">
      <c r="A64" s="148"/>
      <c r="C64" s="104" t="s">
        <v>702</v>
      </c>
      <c r="D64" s="264">
        <f>H52-D62</f>
        <v>270446.65999999997</v>
      </c>
      <c r="E64" s="124"/>
      <c r="F64" s="124"/>
      <c r="G64" s="124"/>
      <c r="L64" s="601"/>
      <c r="M64" s="19"/>
      <c r="N64" s="125"/>
    </row>
    <row r="65" spans="1:4" x14ac:dyDescent="0.25">
      <c r="A65" s="148"/>
    </row>
    <row r="66" spans="1:4" ht="20.100000000000001" customHeight="1" x14ac:dyDescent="0.25">
      <c r="A66" s="148"/>
      <c r="C66" s="215" t="s">
        <v>169</v>
      </c>
      <c r="D66" s="124"/>
    </row>
    <row r="67" spans="1:4" ht="20.100000000000001" customHeight="1" x14ac:dyDescent="0.25">
      <c r="A67" s="148"/>
      <c r="C67" s="367" t="s">
        <v>651</v>
      </c>
      <c r="D67" s="368">
        <v>52000</v>
      </c>
    </row>
    <row r="68" spans="1:4" ht="20.100000000000001" customHeight="1" x14ac:dyDescent="0.25">
      <c r="C68" s="367" t="s">
        <v>652</v>
      </c>
      <c r="D68" s="368">
        <v>51500</v>
      </c>
    </row>
    <row r="69" spans="1:4" ht="20.100000000000001" customHeight="1" x14ac:dyDescent="0.25">
      <c r="C69" s="367" t="s">
        <v>653</v>
      </c>
      <c r="D69" s="368">
        <v>17500</v>
      </c>
    </row>
    <row r="70" spans="1:4" ht="20.100000000000001" customHeight="1" x14ac:dyDescent="0.25">
      <c r="C70" s="367" t="s">
        <v>588</v>
      </c>
      <c r="D70" s="368">
        <v>25000</v>
      </c>
    </row>
    <row r="71" spans="1:4" ht="20.100000000000001" customHeight="1" x14ac:dyDescent="0.25">
      <c r="C71" s="367" t="s">
        <v>647</v>
      </c>
      <c r="D71" s="368">
        <v>25000</v>
      </c>
    </row>
    <row r="72" spans="1:4" ht="20.100000000000001" customHeight="1" x14ac:dyDescent="0.25">
      <c r="C72" s="367" t="s">
        <v>607</v>
      </c>
      <c r="D72" s="368">
        <v>125000</v>
      </c>
    </row>
    <row r="111" spans="4:4" hidden="1" x14ac:dyDescent="0.25">
      <c r="D111" s="250">
        <v>2000</v>
      </c>
    </row>
    <row r="113" spans="4:4" ht="15.75" hidden="1" x14ac:dyDescent="0.25">
      <c r="D113" s="368">
        <v>34547.15</v>
      </c>
    </row>
    <row r="114" spans="4:4" ht="15.75" hidden="1" x14ac:dyDescent="0.25">
      <c r="D114" s="368"/>
    </row>
    <row r="115" spans="4:4" ht="15.75" hidden="1" x14ac:dyDescent="0.25">
      <c r="D115" s="368"/>
    </row>
    <row r="116" spans="4:4" ht="15.75" hidden="1" x14ac:dyDescent="0.25">
      <c r="D116" s="368"/>
    </row>
    <row r="117" spans="4:4" hidden="1" x14ac:dyDescent="0.25">
      <c r="D117" s="124"/>
    </row>
    <row r="118" spans="4:4" x14ac:dyDescent="0.25">
      <c r="D118" s="124"/>
    </row>
    <row r="119" spans="4:4" ht="16.5" customHeight="1" x14ac:dyDescent="0.25">
      <c r="D119" s="124"/>
    </row>
    <row r="120" spans="4:4" ht="16.5" customHeight="1" x14ac:dyDescent="0.25">
      <c r="D120" s="124"/>
    </row>
    <row r="121" spans="4:4" ht="16.5" hidden="1" customHeight="1" x14ac:dyDescent="0.25">
      <c r="D121" s="413">
        <f>SUM(D113:D120)</f>
        <v>34547.15</v>
      </c>
    </row>
    <row r="194" spans="3:8" hidden="1" x14ac:dyDescent="0.25">
      <c r="D194" s="214">
        <v>41698</v>
      </c>
      <c r="E194" s="214">
        <v>41609</v>
      </c>
      <c r="F194" s="214">
        <v>41548</v>
      </c>
      <c r="G194" s="214">
        <v>41487</v>
      </c>
      <c r="H194" s="419">
        <v>41426</v>
      </c>
    </row>
    <row r="195" spans="3:8" hidden="1" x14ac:dyDescent="0.25">
      <c r="C195" s="34" t="s">
        <v>127</v>
      </c>
      <c r="D195" s="147">
        <f>D52</f>
        <v>67132.03</v>
      </c>
      <c r="E195" s="147">
        <f>105452.64+311868.06-305987</f>
        <v>111333.70000000001</v>
      </c>
      <c r="F195" s="147">
        <v>85798.300000000017</v>
      </c>
      <c r="G195" s="124">
        <f>53253.08+18642.89</f>
        <v>71895.97</v>
      </c>
      <c r="H195" s="419">
        <v>126315</v>
      </c>
    </row>
    <row r="196" spans="3:8" hidden="1" x14ac:dyDescent="0.25">
      <c r="C196" s="34" t="s">
        <v>128</v>
      </c>
      <c r="D196" s="147">
        <f>E52</f>
        <v>150264.51</v>
      </c>
      <c r="E196" s="147">
        <f>74767.18-13600.56</f>
        <v>61166.619999999995</v>
      </c>
      <c r="F196" s="147">
        <v>86248.31</v>
      </c>
      <c r="G196" s="124">
        <v>43187.16</v>
      </c>
      <c r="H196" s="419">
        <v>60049</v>
      </c>
    </row>
    <row r="197" spans="3:8" hidden="1" x14ac:dyDescent="0.25">
      <c r="C197" s="34" t="s">
        <v>129</v>
      </c>
      <c r="D197" s="147">
        <f>F52</f>
        <v>81689.23000000001</v>
      </c>
      <c r="E197" s="147">
        <f>66720.93-13675.33</f>
        <v>53045.599999999991</v>
      </c>
      <c r="F197" s="147">
        <v>32950.589999999997</v>
      </c>
      <c r="G197" s="124">
        <v>65970.55</v>
      </c>
      <c r="H197" s="419">
        <v>18719</v>
      </c>
    </row>
    <row r="198" spans="3:8" hidden="1" x14ac:dyDescent="0.25">
      <c r="C198" s="34" t="s">
        <v>130</v>
      </c>
      <c r="D198" s="147">
        <f>G52</f>
        <v>40317.21</v>
      </c>
      <c r="E198" s="147">
        <v>86322.43</v>
      </c>
      <c r="F198" s="147">
        <v>66109.450000000012</v>
      </c>
      <c r="G198" s="124">
        <v>56011.13</v>
      </c>
      <c r="H198" s="419">
        <v>1250</v>
      </c>
    </row>
    <row r="199" spans="3:8" hidden="1" x14ac:dyDescent="0.25">
      <c r="D199" s="147">
        <f>SUM(D195:D198)</f>
        <v>339402.98000000004</v>
      </c>
      <c r="E199" s="147">
        <f>SUM(E195:E198)</f>
        <v>311868.34999999998</v>
      </c>
      <c r="F199" s="147">
        <v>271106.65000000002</v>
      </c>
      <c r="G199" s="124">
        <f>SUM(G195:G198)</f>
        <v>237064.81</v>
      </c>
      <c r="H199" s="419">
        <f t="shared" ref="H199" si="4">SUM(H195:H198)</f>
        <v>206333</v>
      </c>
    </row>
  </sheetData>
  <mergeCells count="3">
    <mergeCell ref="B9:C9"/>
    <mergeCell ref="B32:C32"/>
    <mergeCell ref="B48:C48"/>
  </mergeCells>
  <pageMargins left="0.7" right="0.7" top="0.75" bottom="0.75" header="0.3" footer="0.3"/>
  <pageSetup scale="4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C195DD4D368D448916F642D1065C77" ma:contentTypeVersion="12" ma:contentTypeDescription="Create a new document." ma:contentTypeScope="" ma:versionID="2404251b7d1ca2c212d3bf41774a9320">
  <xsd:schema xmlns:xsd="http://www.w3.org/2001/XMLSchema" xmlns:xs="http://www.w3.org/2001/XMLSchema" xmlns:p="http://schemas.microsoft.com/office/2006/metadata/properties" xmlns:ns3="5efce3ed-08e0-4c32-8d85-98b9cc048c0f" xmlns:ns4="aa661604-bd61-453b-8bd8-7a25c2b72c2b" targetNamespace="http://schemas.microsoft.com/office/2006/metadata/properties" ma:root="true" ma:fieldsID="c0044d0f9c4754748f48e0f644819269" ns3:_="" ns4:_="">
    <xsd:import namespace="5efce3ed-08e0-4c32-8d85-98b9cc048c0f"/>
    <xsd:import namespace="aa661604-bd61-453b-8bd8-7a25c2b72c2b"/>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_activity" minOccurs="0"/>
                <xsd:element ref="ns3:MediaServiceSystem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ce3ed-08e0-4c32-8d85-98b9cc048c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661604-bd61-453b-8bd8-7a25c2b72c2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efce3ed-08e0-4c32-8d85-98b9cc048c0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C12079-B895-4A08-B956-CD1757F8DC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ce3ed-08e0-4c32-8d85-98b9cc048c0f"/>
    <ds:schemaRef ds:uri="aa661604-bd61-453b-8bd8-7a25c2b72c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064D8B-7304-4635-B03E-76B6253AC669}">
  <ds:schemaRefs>
    <ds:schemaRef ds:uri="5efce3ed-08e0-4c32-8d85-98b9cc048c0f"/>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aa661604-bd61-453b-8bd8-7a25c2b72c2b"/>
    <ds:schemaRef ds:uri="http://purl.org/dc/dcmitype/"/>
  </ds:schemaRefs>
</ds:datastoreItem>
</file>

<file path=customXml/itemProps3.xml><?xml version="1.0" encoding="utf-8"?>
<ds:datastoreItem xmlns:ds="http://schemas.openxmlformats.org/officeDocument/2006/customXml" ds:itemID="{8DD78C13-5987-47E5-B2FF-D67E0123C6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14</vt:i4>
      </vt:variant>
    </vt:vector>
  </HeadingPairs>
  <TitlesOfParts>
    <vt:vector size="38" baseType="lpstr">
      <vt:lpstr>Updated  Operating Budget</vt:lpstr>
      <vt:lpstr>2023 Operating Budget</vt:lpstr>
      <vt:lpstr>Transportation Historic</vt:lpstr>
      <vt:lpstr>2024 Operating Budget</vt:lpstr>
      <vt:lpstr>Notes</vt:lpstr>
      <vt:lpstr>Data</vt:lpstr>
      <vt:lpstr>Updated Operating Budget</vt:lpstr>
      <vt:lpstr>February'25 Revenues &amp; Expenses</vt:lpstr>
      <vt:lpstr>February'25 AR Aging</vt:lpstr>
      <vt:lpstr>December'24 AR Aging </vt:lpstr>
      <vt:lpstr>February'25 Financial Position</vt:lpstr>
      <vt:lpstr>February'25 State of Activities</vt:lpstr>
      <vt:lpstr>FundRaising</vt:lpstr>
      <vt:lpstr>February'25 Transportation</vt:lpstr>
      <vt:lpstr>Budget vs Actual 2024</vt:lpstr>
      <vt:lpstr>2025 Transportation Budget</vt:lpstr>
      <vt:lpstr>2023 Updated Budget Transportat</vt:lpstr>
      <vt:lpstr>Historic Transportation 5 Years</vt:lpstr>
      <vt:lpstr>June'20 Transportation</vt:lpstr>
      <vt:lpstr>Transportation Projections</vt:lpstr>
      <vt:lpstr>2019 Budget</vt:lpstr>
      <vt:lpstr>2017 Medicaid Revenue</vt:lpstr>
      <vt:lpstr>Budget</vt:lpstr>
      <vt:lpstr>YE Historic Data</vt:lpstr>
      <vt:lpstr>'2017 Medicaid Revenue'!Print_Area</vt:lpstr>
      <vt:lpstr>'2025 Transportation Budget'!Print_Area</vt:lpstr>
      <vt:lpstr>Budget!Print_Area</vt:lpstr>
      <vt:lpstr>'Budget vs Actual 2024'!Print_Area</vt:lpstr>
      <vt:lpstr>'December''24 AR Aging '!Print_Area</vt:lpstr>
      <vt:lpstr>'February''25 Financial Position'!Print_Area</vt:lpstr>
      <vt:lpstr>'February''25 Revenues &amp; Expenses'!Print_Area</vt:lpstr>
      <vt:lpstr>'February''25 State of Activities'!Print_Area</vt:lpstr>
      <vt:lpstr>'February''25 Transportation'!Print_Area</vt:lpstr>
      <vt:lpstr>'June''20 Transportation'!Print_Area</vt:lpstr>
      <vt:lpstr>Notes!Print_Area</vt:lpstr>
      <vt:lpstr>'Transportation Projections'!Print_Area</vt:lpstr>
      <vt:lpstr>'YE Historic Data'!Print_Area</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jeanette</dc:creator>
  <cp:lastModifiedBy>Lisa Thomas</cp:lastModifiedBy>
  <cp:lastPrinted>2025-03-25T18:46:19Z</cp:lastPrinted>
  <dcterms:created xsi:type="dcterms:W3CDTF">2011-11-03T17:20:29Z</dcterms:created>
  <dcterms:modified xsi:type="dcterms:W3CDTF">2025-03-27T16:34:54Z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0x01010024C195DD4D368D448916F642D1065C77</vt:lpwstr>
  </property>
</Properties>
</file>